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IVATE\DOM\Grants\DOM Webpage\"/>
    </mc:Choice>
  </mc:AlternateContent>
  <bookViews>
    <workbookView xWindow="0" yWindow="0" windowWidth="25200" windowHeight="12435" tabRatio="685"/>
  </bookViews>
  <sheets>
    <sheet name="MAIN SHEET" sheetId="1" r:id="rId1"/>
    <sheet name="SUBCONTRACTS" sheetId="4" r:id="rId2"/>
    <sheet name="NIH 424 ITEMS" sheetId="8" r:id="rId3"/>
    <sheet name="ADDL NARR JUSTIF" sheetId="10" r:id="rId4"/>
    <sheet name="PCF BUDGET INFO" sheetId="5" r:id="rId5"/>
    <sheet name="INSTRUCTIONS" sheetId="7" r:id="rId6"/>
  </sheets>
  <definedNames>
    <definedName name="COLs">#REF!</definedName>
  </definedNames>
  <calcPr calcId="162913"/>
</workbook>
</file>

<file path=xl/calcChain.xml><?xml version="1.0" encoding="utf-8"?>
<calcChain xmlns="http://schemas.openxmlformats.org/spreadsheetml/2006/main">
  <c r="A73" i="1" l="1"/>
  <c r="E73" i="1" s="1"/>
  <c r="K20" i="1" l="1"/>
  <c r="K19" i="1"/>
  <c r="K18" i="1"/>
  <c r="K17" i="1"/>
  <c r="K16" i="1"/>
  <c r="K15" i="1"/>
  <c r="K14" i="1"/>
  <c r="K13" i="1"/>
  <c r="A13" i="8" l="1"/>
  <c r="D19" i="8" s="1"/>
  <c r="J20" i="8"/>
  <c r="K20" i="8" s="1"/>
  <c r="I20" i="8"/>
  <c r="J19" i="8"/>
  <c r="K19" i="8"/>
  <c r="I19" i="8"/>
  <c r="J18" i="8"/>
  <c r="K18" i="8"/>
  <c r="I18" i="8"/>
  <c r="E96" i="1"/>
  <c r="P96" i="1"/>
  <c r="P95" i="1"/>
  <c r="P94" i="1"/>
  <c r="F73" i="1"/>
  <c r="H73" i="1" s="1"/>
  <c r="B6" i="10"/>
  <c r="D6" i="10" s="1"/>
  <c r="H80" i="1"/>
  <c r="F80" i="1"/>
  <c r="E80" i="1"/>
  <c r="H79" i="1"/>
  <c r="H78" i="1"/>
  <c r="H77" i="1"/>
  <c r="H76" i="1"/>
  <c r="E74" i="1"/>
  <c r="B11" i="10" s="1"/>
  <c r="F71" i="1"/>
  <c r="H71" i="1" s="1"/>
  <c r="B14" i="5" s="1"/>
  <c r="E71" i="1"/>
  <c r="H70" i="1"/>
  <c r="H69" i="1"/>
  <c r="H68" i="1"/>
  <c r="H67" i="1"/>
  <c r="H61" i="1"/>
  <c r="F58" i="1"/>
  <c r="C8" i="10" s="1"/>
  <c r="E58" i="1"/>
  <c r="B8" i="10" s="1"/>
  <c r="H57" i="1"/>
  <c r="H56" i="1"/>
  <c r="F54" i="1"/>
  <c r="F87" i="1" s="1"/>
  <c r="E54" i="1"/>
  <c r="H54" i="1" s="1"/>
  <c r="B11" i="5" s="1"/>
  <c r="B20" i="5" s="1"/>
  <c r="H53" i="1"/>
  <c r="H52" i="1"/>
  <c r="F50" i="1"/>
  <c r="C9" i="10" s="1"/>
  <c r="E50" i="1"/>
  <c r="B9" i="10" s="1"/>
  <c r="H49" i="1"/>
  <c r="H48" i="1"/>
  <c r="H47" i="1"/>
  <c r="H46" i="1"/>
  <c r="F41" i="1"/>
  <c r="C6" i="10" s="1"/>
  <c r="E41" i="1"/>
  <c r="H41" i="1" s="1"/>
  <c r="B10" i="5" s="1"/>
  <c r="B19" i="5" s="1"/>
  <c r="L18" i="1"/>
  <c r="L17" i="1"/>
  <c r="L16" i="1"/>
  <c r="L15" i="1"/>
  <c r="M15" i="1" s="1"/>
  <c r="O15" i="1" s="1"/>
  <c r="L13" i="1"/>
  <c r="K12" i="1"/>
  <c r="L12" i="1" s="1"/>
  <c r="K11" i="1"/>
  <c r="L11" i="1"/>
  <c r="L23" i="1" s="1"/>
  <c r="D32" i="1"/>
  <c r="D31" i="1"/>
  <c r="D30" i="1"/>
  <c r="D29" i="1"/>
  <c r="L29" i="1" s="1"/>
  <c r="D28" i="1"/>
  <c r="D27" i="1"/>
  <c r="D26" i="1"/>
  <c r="D25" i="1"/>
  <c r="D24" i="1"/>
  <c r="D23" i="1"/>
  <c r="C20" i="1"/>
  <c r="E20" i="1" s="1"/>
  <c r="C19" i="1"/>
  <c r="E19" i="1" s="1"/>
  <c r="C18" i="1"/>
  <c r="E18" i="1" s="1"/>
  <c r="E30" i="1" s="1"/>
  <c r="C17" i="1"/>
  <c r="E17" i="1" s="1"/>
  <c r="C16" i="1"/>
  <c r="C15" i="1"/>
  <c r="E15" i="1" s="1"/>
  <c r="C14" i="1"/>
  <c r="E14" i="1" s="1"/>
  <c r="F14" i="1" s="1"/>
  <c r="F26" i="1" s="1"/>
  <c r="C13" i="1"/>
  <c r="E13" i="1" s="1"/>
  <c r="C12" i="1"/>
  <c r="C11" i="1"/>
  <c r="E18" i="4"/>
  <c r="C51" i="4"/>
  <c r="B51" i="4"/>
  <c r="F8" i="1"/>
  <c r="A23" i="8" s="1"/>
  <c r="B50" i="4"/>
  <c r="E84" i="1"/>
  <c r="E87" i="1"/>
  <c r="E88" i="1"/>
  <c r="H88" i="1" s="1"/>
  <c r="E90" i="1"/>
  <c r="H90" i="1" s="1"/>
  <c r="B9" i="4"/>
  <c r="E39" i="5" s="1"/>
  <c r="B10" i="4"/>
  <c r="B18" i="4"/>
  <c r="B19" i="4"/>
  <c r="B27" i="4"/>
  <c r="E27" i="4" s="1"/>
  <c r="F41" i="5" s="1"/>
  <c r="B28" i="4"/>
  <c r="B36" i="4"/>
  <c r="C37" i="4" s="1"/>
  <c r="B37" i="4"/>
  <c r="B45" i="4"/>
  <c r="B46" i="4"/>
  <c r="F8" i="5"/>
  <c r="F9" i="5" s="1"/>
  <c r="C9" i="4"/>
  <c r="C18" i="4"/>
  <c r="C27" i="4"/>
  <c r="F62" i="1" s="1"/>
  <c r="C36" i="4"/>
  <c r="F63" i="1" s="1"/>
  <c r="C45" i="4"/>
  <c r="E45" i="4" s="1"/>
  <c r="F43" i="5" s="1"/>
  <c r="F88" i="1"/>
  <c r="F86" i="1"/>
  <c r="F90" i="1"/>
  <c r="F92" i="1"/>
  <c r="C50" i="4"/>
  <c r="F84" i="1"/>
  <c r="H84" i="1" s="1"/>
  <c r="C10" i="4"/>
  <c r="C19" i="4"/>
  <c r="E60" i="1"/>
  <c r="E61" i="1"/>
  <c r="E62" i="1"/>
  <c r="H62" i="1" s="1"/>
  <c r="F60" i="1"/>
  <c r="F61" i="1"/>
  <c r="E42" i="5"/>
  <c r="B43" i="5"/>
  <c r="B42" i="5"/>
  <c r="A43" i="5"/>
  <c r="A42" i="5"/>
  <c r="A41" i="5"/>
  <c r="F40" i="5"/>
  <c r="F39" i="5"/>
  <c r="B41" i="5"/>
  <c r="B40" i="5"/>
  <c r="A40" i="5"/>
  <c r="B39" i="5"/>
  <c r="A39" i="5"/>
  <c r="A35" i="5"/>
  <c r="B5" i="1"/>
  <c r="D5" i="8"/>
  <c r="E51" i="4"/>
  <c r="F33" i="8" s="1"/>
  <c r="D28" i="8"/>
  <c r="F24" i="8"/>
  <c r="F14" i="8"/>
  <c r="E50" i="4"/>
  <c r="H101" i="1"/>
  <c r="A64" i="1"/>
  <c r="A63" i="1"/>
  <c r="A62" i="1"/>
  <c r="A61" i="1"/>
  <c r="A60" i="1"/>
  <c r="L8" i="1"/>
  <c r="E44" i="4"/>
  <c r="E43" i="4"/>
  <c r="H36" i="1"/>
  <c r="H37" i="1"/>
  <c r="H38" i="1"/>
  <c r="H39" i="1"/>
  <c r="A24" i="1"/>
  <c r="A25" i="1"/>
  <c r="A26" i="1"/>
  <c r="A27" i="1"/>
  <c r="A28" i="1"/>
  <c r="A29" i="1"/>
  <c r="A30" i="1"/>
  <c r="A31" i="1"/>
  <c r="A32" i="1"/>
  <c r="A23" i="1"/>
  <c r="P24" i="1"/>
  <c r="P25" i="1"/>
  <c r="P26" i="1"/>
  <c r="P27" i="1"/>
  <c r="P28" i="1"/>
  <c r="P29" i="1"/>
  <c r="P30" i="1"/>
  <c r="P31" i="1"/>
  <c r="P32" i="1"/>
  <c r="P23" i="1"/>
  <c r="K24" i="1"/>
  <c r="K27" i="1"/>
  <c r="K28" i="1"/>
  <c r="K29" i="1"/>
  <c r="K30" i="1"/>
  <c r="K31" i="1"/>
  <c r="K32" i="1"/>
  <c r="I12" i="1"/>
  <c r="I13" i="1"/>
  <c r="I14" i="1"/>
  <c r="I15" i="1"/>
  <c r="I16" i="1"/>
  <c r="I17" i="1"/>
  <c r="I18" i="1"/>
  <c r="I19" i="1"/>
  <c r="I20" i="1"/>
  <c r="I11" i="1"/>
  <c r="E35" i="4"/>
  <c r="E34" i="4"/>
  <c r="E26" i="4"/>
  <c r="E25" i="4"/>
  <c r="E17" i="4"/>
  <c r="E16" i="4"/>
  <c r="E8" i="4"/>
  <c r="E7" i="4"/>
  <c r="H40" i="1"/>
  <c r="H35" i="1"/>
  <c r="C52" i="4"/>
  <c r="E40" i="5"/>
  <c r="B52" i="4"/>
  <c r="E52" i="4" s="1"/>
  <c r="K25" i="1"/>
  <c r="K26" i="1"/>
  <c r="B48" i="4"/>
  <c r="E41" i="5"/>
  <c r="E43" i="5"/>
  <c r="E64" i="1"/>
  <c r="C46" i="4"/>
  <c r="E92" i="1"/>
  <c r="H92" i="1"/>
  <c r="B49" i="4"/>
  <c r="B10" i="10" s="1"/>
  <c r="F74" i="1"/>
  <c r="C11" i="10" s="1"/>
  <c r="E86" i="1"/>
  <c r="H86" i="1" s="1"/>
  <c r="A34" i="5"/>
  <c r="K23" i="1"/>
  <c r="E16" i="1"/>
  <c r="E28" i="1" s="1"/>
  <c r="E12" i="1"/>
  <c r="M17" i="1"/>
  <c r="O17" i="1" s="1"/>
  <c r="L28" i="1"/>
  <c r="M16" i="1"/>
  <c r="O16" i="1" s="1"/>
  <c r="L14" i="1"/>
  <c r="M14" i="1" s="1"/>
  <c r="L19" i="1"/>
  <c r="L20" i="1"/>
  <c r="L32" i="1" s="1"/>
  <c r="E11" i="1"/>
  <c r="F11" i="1" s="1"/>
  <c r="F91" i="1" l="1"/>
  <c r="D9" i="10"/>
  <c r="D8" i="10"/>
  <c r="H64" i="1"/>
  <c r="H87" i="1"/>
  <c r="L27" i="1"/>
  <c r="F64" i="1"/>
  <c r="F65" i="1" s="1"/>
  <c r="F89" i="1" s="1"/>
  <c r="E36" i="4"/>
  <c r="F42" i="5" s="1"/>
  <c r="H50" i="1"/>
  <c r="B22" i="5" s="1"/>
  <c r="H58" i="1"/>
  <c r="B21" i="5" s="1"/>
  <c r="B7" i="10"/>
  <c r="E23" i="1"/>
  <c r="E26" i="1"/>
  <c r="M28" i="1"/>
  <c r="C28" i="4"/>
  <c r="C48" i="4" s="1"/>
  <c r="C49" i="4" s="1"/>
  <c r="C10" i="10" s="1"/>
  <c r="D10" i="10" s="1"/>
  <c r="E9" i="4"/>
  <c r="H60" i="1"/>
  <c r="C7" i="10"/>
  <c r="F16" i="1"/>
  <c r="B12" i="10"/>
  <c r="E63" i="1"/>
  <c r="H63" i="1" s="1"/>
  <c r="F15" i="1"/>
  <c r="F27" i="1" s="1"/>
  <c r="E27" i="1"/>
  <c r="F19" i="1"/>
  <c r="H19" i="1" s="1"/>
  <c r="E31" i="1"/>
  <c r="E24" i="1"/>
  <c r="L25" i="1"/>
  <c r="L30" i="1"/>
  <c r="F12" i="1"/>
  <c r="F24" i="1" s="1"/>
  <c r="M19" i="1"/>
  <c r="M31" i="1" s="1"/>
  <c r="E91" i="1"/>
  <c r="H91" i="1" s="1"/>
  <c r="M11" i="1"/>
  <c r="M23" i="1" s="1"/>
  <c r="O23" i="1" s="1"/>
  <c r="L31" i="1"/>
  <c r="M20" i="1"/>
  <c r="M32" i="1" s="1"/>
  <c r="O28" i="1"/>
  <c r="D18" i="8"/>
  <c r="F23" i="1"/>
  <c r="E32" i="1"/>
  <c r="H20" i="1"/>
  <c r="F20" i="1"/>
  <c r="F32" i="1" s="1"/>
  <c r="E25" i="1"/>
  <c r="F13" i="1"/>
  <c r="F25" i="1" s="1"/>
  <c r="E29" i="1"/>
  <c r="F17" i="1"/>
  <c r="F29" i="1" s="1"/>
  <c r="L24" i="1"/>
  <c r="M12" i="1"/>
  <c r="M24" i="1" s="1"/>
  <c r="O31" i="1"/>
  <c r="M18" i="1"/>
  <c r="H26" i="1"/>
  <c r="H14" i="1"/>
  <c r="H11" i="1"/>
  <c r="M27" i="1"/>
  <c r="O27" i="1" s="1"/>
  <c r="O32" i="1"/>
  <c r="M13" i="1"/>
  <c r="F18" i="1"/>
  <c r="F30" i="1" s="1"/>
  <c r="H30" i="1" s="1"/>
  <c r="H18" i="1"/>
  <c r="E21" i="1"/>
  <c r="H15" i="1"/>
  <c r="E9" i="1"/>
  <c r="C19" i="8"/>
  <c r="M8" i="1"/>
  <c r="D11" i="10"/>
  <c r="C12" i="10"/>
  <c r="D12" i="10" s="1"/>
  <c r="H74" i="1"/>
  <c r="B15" i="5" s="1"/>
  <c r="B24" i="5" s="1"/>
  <c r="O20" i="1"/>
  <c r="M29" i="1"/>
  <c r="O29" i="1" s="1"/>
  <c r="M26" i="1"/>
  <c r="O14" i="1"/>
  <c r="L21" i="1"/>
  <c r="L26" i="1"/>
  <c r="H23" i="1" l="1"/>
  <c r="H29" i="1"/>
  <c r="O26" i="1"/>
  <c r="O11" i="1"/>
  <c r="F31" i="1"/>
  <c r="H31" i="1" s="1"/>
  <c r="H24" i="1"/>
  <c r="M21" i="1"/>
  <c r="H12" i="1"/>
  <c r="E48" i="4"/>
  <c r="H27" i="1"/>
  <c r="E49" i="4"/>
  <c r="B23" i="5" s="1"/>
  <c r="B26" i="5" s="1"/>
  <c r="D7" i="10"/>
  <c r="F28" i="1"/>
  <c r="H28" i="1" s="1"/>
  <c r="H16" i="1"/>
  <c r="E65" i="1"/>
  <c r="O24" i="1"/>
  <c r="E33" i="1"/>
  <c r="E83" i="1" s="1"/>
  <c r="O19" i="1"/>
  <c r="H32" i="1"/>
  <c r="O13" i="1"/>
  <c r="M25" i="1"/>
  <c r="O25" i="1" s="1"/>
  <c r="M30" i="1"/>
  <c r="O30" i="1" s="1"/>
  <c r="O18" i="1"/>
  <c r="H13" i="1"/>
  <c r="F21" i="1"/>
  <c r="F82" i="1" s="1"/>
  <c r="L33" i="1"/>
  <c r="E82" i="1"/>
  <c r="O12" i="1"/>
  <c r="H17" i="1"/>
  <c r="H25" i="1"/>
  <c r="L9" i="1"/>
  <c r="B13" i="8"/>
  <c r="F9" i="1"/>
  <c r="O21" i="1"/>
  <c r="E8" i="5" s="1"/>
  <c r="F33" i="1" l="1"/>
  <c r="F83" i="1" s="1"/>
  <c r="H33" i="1"/>
  <c r="B9" i="5" s="1"/>
  <c r="F43" i="1"/>
  <c r="F44" i="1" s="1"/>
  <c r="F85" i="1" s="1"/>
  <c r="F95" i="1" s="1"/>
  <c r="F97" i="1" s="1"/>
  <c r="F28" i="8" s="1"/>
  <c r="E89" i="1"/>
  <c r="H89" i="1" s="1"/>
  <c r="H65" i="1"/>
  <c r="B12" i="5" s="1"/>
  <c r="H21" i="1"/>
  <c r="B8" i="5" s="1"/>
  <c r="H83" i="1"/>
  <c r="M33" i="1"/>
  <c r="O33" i="1" s="1"/>
  <c r="E9" i="5" s="1"/>
  <c r="E16" i="5" s="1"/>
  <c r="H82" i="1"/>
  <c r="E43" i="1"/>
  <c r="B6" i="1"/>
  <c r="B23" i="8"/>
  <c r="M9" i="1"/>
  <c r="E19" i="8"/>
  <c r="F19" i="8" s="1"/>
  <c r="F93" i="1" l="1"/>
  <c r="F23" i="8" s="1"/>
  <c r="F25" i="8" s="1"/>
  <c r="E28" i="8"/>
  <c r="F99" i="1"/>
  <c r="E44" i="1"/>
  <c r="H43" i="1"/>
  <c r="D6" i="8"/>
  <c r="A5" i="5"/>
  <c r="E85" i="1" l="1"/>
  <c r="H44" i="1"/>
  <c r="B13" i="5" s="1"/>
  <c r="B16" i="5" s="1"/>
  <c r="B27" i="5" s="1"/>
  <c r="H85" i="1" l="1"/>
  <c r="E93" i="1"/>
  <c r="E95" i="1"/>
  <c r="E97" i="1" l="1"/>
  <c r="H97" i="1" s="1"/>
  <c r="E18" i="8"/>
  <c r="F18" i="8" s="1"/>
  <c r="H95" i="1"/>
  <c r="H93" i="1"/>
  <c r="F13" i="8"/>
  <c r="F15" i="8" s="1"/>
  <c r="E99" i="1"/>
  <c r="H99" i="1" s="1"/>
  <c r="F36" i="8" l="1"/>
  <c r="B31" i="5"/>
  <c r="D7" i="8"/>
  <c r="D8" i="8" s="1"/>
  <c r="F32" i="8"/>
  <c r="F34" i="8"/>
  <c r="B30" i="5"/>
  <c r="F35" i="8"/>
</calcChain>
</file>

<file path=xl/sharedStrings.xml><?xml version="1.0" encoding="utf-8"?>
<sst xmlns="http://schemas.openxmlformats.org/spreadsheetml/2006/main" count="337" uniqueCount="197">
  <si>
    <t>PI name:</t>
  </si>
  <si>
    <t>Project title:</t>
  </si>
  <si>
    <t>Effort %</t>
  </si>
  <si>
    <t>Salary</t>
  </si>
  <si>
    <t>Year 1</t>
  </si>
  <si>
    <t>Year 2</t>
  </si>
  <si>
    <t>Adj salary</t>
  </si>
  <si>
    <t>TOTAL</t>
  </si>
  <si>
    <t>Start date:</t>
  </si>
  <si>
    <t>End date:</t>
  </si>
  <si>
    <t>TOTALS</t>
  </si>
  <si>
    <t>Fringe benefits</t>
  </si>
  <si>
    <t>Fringe %</t>
  </si>
  <si>
    <t>Fringe</t>
  </si>
  <si>
    <t>Current salary</t>
  </si>
  <si>
    <t>Equipment</t>
  </si>
  <si>
    <t>Supplies</t>
  </si>
  <si>
    <t>Subcontracts</t>
  </si>
  <si>
    <t>Patient care costs</t>
  </si>
  <si>
    <t>Travel</t>
  </si>
  <si>
    <t>Tuition</t>
  </si>
  <si>
    <t>Other expenses</t>
  </si>
  <si>
    <t>DETAILED BUDGET TOTALS</t>
  </si>
  <si>
    <t>Direct costs</t>
  </si>
  <si>
    <t>Indirect costs</t>
  </si>
  <si>
    <t>Institution</t>
  </si>
  <si>
    <t>MODIFIED TOTAL DIRECT COSTS</t>
  </si>
  <si>
    <t>Cal Mos.</t>
  </si>
  <si>
    <t>COST SHARE</t>
  </si>
  <si>
    <t>Salary &amp; wages</t>
  </si>
  <si>
    <t>Supplies &amp; expenses</t>
  </si>
  <si>
    <t>TOTAL Direct Costs</t>
  </si>
  <si>
    <t>Speedtype</t>
  </si>
  <si>
    <t>Salaries</t>
  </si>
  <si>
    <t>AMT INCLUDED IN UL F/A</t>
  </si>
  <si>
    <t>F/A RATE</t>
  </si>
  <si>
    <t>TOTAL COSTS</t>
  </si>
  <si>
    <t>Equip ≥$5K per item</t>
  </si>
  <si>
    <t>Alteration/Renovation ≥$100K</t>
  </si>
  <si>
    <t>Equipment ≥$5K per item (190000)</t>
  </si>
  <si>
    <t>Alteration/Renovation ≥$100K (190000)</t>
  </si>
  <si>
    <t>Off-Site Rental (519000)</t>
  </si>
  <si>
    <t>Patient Care (519000)</t>
  </si>
  <si>
    <t>Subcontract amounts in excess of first $25K on each (519000)</t>
  </si>
  <si>
    <t>Tuition (520000)</t>
  </si>
  <si>
    <t xml:space="preserve">Other      </t>
  </si>
  <si>
    <t>Total Exclusions</t>
  </si>
  <si>
    <t>Modified TDC Base (18e TDC minus 18h exclusions)</t>
  </si>
  <si>
    <t>TOTAL AMT INCLUDED IN UL F/A</t>
  </si>
  <si>
    <t>TOTAL AMT EXCLUDED FROM UL F/A</t>
  </si>
  <si>
    <t>Speedtypes</t>
  </si>
  <si>
    <t>TOTAL SUBCONTRACTOR INDIRECT COSTS</t>
  </si>
  <si>
    <t>TOTAL SUBCONTRACTOR DIRECT COSTS</t>
  </si>
  <si>
    <t>Consortium F&amp;A</t>
  </si>
  <si>
    <t>Alterations/renovations</t>
  </si>
  <si>
    <t>Off-site rentals</t>
  </si>
  <si>
    <t>TARGET ANNUAL DIRECT COSTS</t>
  </si>
  <si>
    <t>MAIN SHEET</t>
  </si>
  <si>
    <t>SALARIES</t>
  </si>
  <si>
    <t>Salaries (Name)</t>
  </si>
  <si>
    <r>
      <t xml:space="preserve">1) </t>
    </r>
    <r>
      <rPr>
        <b/>
        <sz val="10"/>
        <rFont val="Arial"/>
        <family val="2"/>
      </rPr>
      <t>Name:</t>
    </r>
    <r>
      <rPr>
        <sz val="10"/>
        <rFont val="Arial"/>
        <family val="2"/>
      </rPr>
      <t xml:space="preserve"> fill in the first name and last name of each person on the project (e.g., </t>
    </r>
    <r>
      <rPr>
        <b/>
        <sz val="10"/>
        <rFont val="Arial"/>
        <family val="2"/>
      </rPr>
      <t>Mike Burry</t>
    </r>
    <r>
      <rPr>
        <sz val="10"/>
        <rFont val="Arial"/>
        <family val="2"/>
      </rPr>
      <t>)</t>
    </r>
  </si>
  <si>
    <t>FRINGE BENEFITS</t>
  </si>
  <si>
    <t>GRA</t>
  </si>
  <si>
    <t>GRA insurance</t>
  </si>
  <si>
    <t>Start date</t>
  </si>
  <si>
    <t>End date</t>
  </si>
  <si>
    <t>SUBCONTRACTS PAGE</t>
  </si>
  <si>
    <t>Subcontract 1</t>
  </si>
  <si>
    <t>Subcontract 2</t>
  </si>
  <si>
    <t>Subcontract 3</t>
  </si>
  <si>
    <t>Subcontract 4</t>
  </si>
  <si>
    <t>Subcontract 5</t>
  </si>
  <si>
    <t>DIRECT COST SUBTOTAL</t>
  </si>
  <si>
    <t>F&amp;A SUBTOTAL</t>
  </si>
  <si>
    <t>Budget period 1</t>
  </si>
  <si>
    <t>Direct costs less consortium F&amp;A</t>
  </si>
  <si>
    <t>Funds requested</t>
  </si>
  <si>
    <t>Total direct costs</t>
  </si>
  <si>
    <t>Indirect cost type</t>
  </si>
  <si>
    <t>Indirect cost rate (%)</t>
  </si>
  <si>
    <t>Indirect cost base ($)</t>
  </si>
  <si>
    <t>MTDC</t>
  </si>
  <si>
    <t>Budget period 2</t>
  </si>
  <si>
    <t>1. Total Costs, Entire Project Period</t>
  </si>
  <si>
    <t>Section A, Total Direct Cost less Consortium F&amp;A for Entire Project Period</t>
  </si>
  <si>
    <t>Section A, Total Consortium F&amp;A for Entire Project Period</t>
  </si>
  <si>
    <t>Section A, Total Direct Costs Entire Project Period</t>
  </si>
  <si>
    <t>Section B, Total Indirect Costs for Entire Project Period</t>
  </si>
  <si>
    <t>Section C, Total Direct and Indirect Costs (A+B) for Entire Project Period</t>
  </si>
  <si>
    <t>NIH 424 ITEMS</t>
  </si>
  <si>
    <t>SF 424 (R&amp;R)</t>
  </si>
  <si>
    <t>11. Descriptive title</t>
  </si>
  <si>
    <t>12. Project period</t>
  </si>
  <si>
    <t>15a. Total federal funds requested</t>
  </si>
  <si>
    <t>15c. Total federal and non-federal funds</t>
  </si>
  <si>
    <t>COMMENTS</t>
  </si>
  <si>
    <t>PROPOSAL CLEARANCE FORM BUDGET PAGE INFO</t>
  </si>
  <si>
    <t>#18c Entire Proposed Budget Period</t>
  </si>
  <si>
    <t>#18d Requested from sponsor</t>
  </si>
  <si>
    <t>#18f UofL Cost Share</t>
  </si>
  <si>
    <t>#18g Exclusions to TDC Base</t>
  </si>
  <si>
    <t>#18j F&amp;A Indirect costs</t>
  </si>
  <si>
    <t>#18k Total Cost of Project</t>
  </si>
  <si>
    <t>#18l Budget Remarks</t>
  </si>
  <si>
    <t>#19 Subcontracts to be issued</t>
  </si>
  <si>
    <t>Organization name</t>
  </si>
  <si>
    <t>PI/Contact name</t>
  </si>
  <si>
    <t>Current year</t>
  </si>
  <si>
    <t>Remain Years</t>
  </si>
  <si>
    <r>
      <t xml:space="preserve">1) </t>
    </r>
    <r>
      <rPr>
        <b/>
        <sz val="10"/>
        <rFont val="Arial"/>
        <family val="2"/>
      </rPr>
      <t>PI name:</t>
    </r>
    <r>
      <rPr>
        <sz val="10"/>
        <rFont val="Arial"/>
        <family val="2"/>
      </rPr>
      <t xml:space="preserve"> fill in the Principal Investigator's name (e.g., </t>
    </r>
    <r>
      <rPr>
        <b/>
        <sz val="10"/>
        <rFont val="Arial"/>
        <family val="2"/>
      </rPr>
      <t>Mike Burry, MD</t>
    </r>
    <r>
      <rPr>
        <sz val="10"/>
        <rFont val="Arial"/>
        <family val="2"/>
      </rPr>
      <t>).</t>
    </r>
  </si>
  <si>
    <t>Cost of living % increase</t>
  </si>
  <si>
    <r>
      <t xml:space="preserve">1) On the Excel toolbar, click on </t>
    </r>
    <r>
      <rPr>
        <b/>
        <sz val="10"/>
        <rFont val="Arial"/>
        <family val="2"/>
      </rPr>
      <t>Tools</t>
    </r>
    <r>
      <rPr>
        <sz val="10"/>
        <rFont val="Arial"/>
        <family val="2"/>
      </rPr>
      <t xml:space="preserve">, then </t>
    </r>
    <r>
      <rPr>
        <b/>
        <sz val="10"/>
        <rFont val="Arial"/>
        <family val="2"/>
      </rPr>
      <t>Add-ins</t>
    </r>
    <r>
      <rPr>
        <sz val="10"/>
        <rFont val="Arial"/>
        <family val="2"/>
      </rPr>
      <t xml:space="preserve">, and make sure that </t>
    </r>
    <r>
      <rPr>
        <b/>
        <sz val="10"/>
        <rFont val="Arial"/>
        <family val="2"/>
      </rPr>
      <t>Analysis ToolPak</t>
    </r>
    <r>
      <rPr>
        <sz val="10"/>
        <rFont val="Arial"/>
        <family val="2"/>
      </rPr>
      <t xml:space="preserve"> is checked.  (This allows the dates at the top of the Main Sheet Years to be filled in automatically.)</t>
    </r>
  </si>
  <si>
    <t>Excel Tools Ad-Ins</t>
  </si>
  <si>
    <t>PREPARATION</t>
  </si>
  <si>
    <t>FORMATTING EXPLANATIONS</t>
  </si>
  <si>
    <t>Fillable areas</t>
  </si>
  <si>
    <t>Only the peach-colored cells can be filled in -- all other cells are calculated automatically.</t>
  </si>
  <si>
    <r>
      <t xml:space="preserve">3) </t>
    </r>
    <r>
      <rPr>
        <b/>
        <sz val="10"/>
        <rFont val="Arial"/>
        <family val="2"/>
      </rPr>
      <t>Start date:</t>
    </r>
    <r>
      <rPr>
        <sz val="10"/>
        <rFont val="Arial"/>
        <family val="2"/>
      </rPr>
      <t xml:space="preserve"> leave blank -- will be filled in automatically below.</t>
    </r>
  </si>
  <si>
    <r>
      <t xml:space="preserve">4) </t>
    </r>
    <r>
      <rPr>
        <b/>
        <sz val="10"/>
        <rFont val="Arial"/>
        <family val="2"/>
      </rPr>
      <t>End date:</t>
    </r>
    <r>
      <rPr>
        <sz val="10"/>
        <rFont val="Arial"/>
        <family val="2"/>
      </rPr>
      <t xml:space="preserve"> leave blank -- will be filled in automatically below.</t>
    </r>
  </si>
  <si>
    <r>
      <t xml:space="preserve">1) </t>
    </r>
    <r>
      <rPr>
        <b/>
        <sz val="10"/>
        <rFont val="Arial"/>
        <family val="2"/>
      </rPr>
      <t xml:space="preserve">Year 1 start date: </t>
    </r>
    <r>
      <rPr>
        <sz val="10"/>
        <rFont val="Arial"/>
        <family val="2"/>
      </rPr>
      <t xml:space="preserve">fill in the start date in mm/dd/yyyy format </t>
    </r>
    <r>
      <rPr>
        <b/>
        <sz val="10"/>
        <rFont val="Arial"/>
        <family val="2"/>
      </rPr>
      <t>(e.g., 7/1/2010)</t>
    </r>
    <r>
      <rPr>
        <sz val="10"/>
        <rFont val="Arial"/>
        <family val="2"/>
      </rPr>
      <t xml:space="preserve"> and the remaining dates will be filled in automatically.</t>
    </r>
  </si>
  <si>
    <r>
      <t xml:space="preserve">2) </t>
    </r>
    <r>
      <rPr>
        <b/>
        <sz val="10"/>
        <rFont val="Arial"/>
        <family val="2"/>
      </rPr>
      <t>Current salary:</t>
    </r>
    <r>
      <rPr>
        <sz val="10"/>
        <rFont val="Arial"/>
        <family val="2"/>
      </rPr>
      <t xml:space="preserve"> Fill in this person's current Institutional Base Salary without decimals, which include supplemental pay, but excludes X-pays, VA salary and clinical salary (e.g., </t>
    </r>
    <r>
      <rPr>
        <b/>
        <sz val="10"/>
        <rFont val="Arial"/>
        <family val="2"/>
      </rPr>
      <t>90000</t>
    </r>
    <r>
      <rPr>
        <sz val="10"/>
        <rFont val="Arial"/>
        <family val="2"/>
      </rPr>
      <t>).</t>
    </r>
  </si>
  <si>
    <r>
      <t xml:space="preserve">3) </t>
    </r>
    <r>
      <rPr>
        <b/>
        <sz val="10"/>
        <rFont val="Arial"/>
        <family val="2"/>
      </rPr>
      <t>Effort %:</t>
    </r>
    <r>
      <rPr>
        <sz val="10"/>
        <rFont val="Arial"/>
        <family val="2"/>
      </rPr>
      <t xml:space="preserve"> Enter the effort percentage this person will work on this project (e.g., if they will work 20%, enter </t>
    </r>
    <r>
      <rPr>
        <b/>
        <sz val="10"/>
        <rFont val="Arial"/>
        <family val="2"/>
      </rPr>
      <t>20</t>
    </r>
    <r>
      <rPr>
        <sz val="10"/>
        <rFont val="Arial"/>
        <family val="2"/>
      </rPr>
      <t>).  NOTE: do not use decimals as it's difficult to justify that to sponsors.</t>
    </r>
  </si>
  <si>
    <r>
      <t xml:space="preserve">1) </t>
    </r>
    <r>
      <rPr>
        <b/>
        <sz val="10"/>
        <rFont val="Arial"/>
        <family val="2"/>
      </rPr>
      <t>GRA:</t>
    </r>
    <r>
      <rPr>
        <sz val="10"/>
        <rFont val="Arial"/>
        <family val="2"/>
      </rPr>
      <t xml:space="preserve"> If this person is a Graduate Research Assistant, fill in </t>
    </r>
    <r>
      <rPr>
        <b/>
        <sz val="10"/>
        <rFont val="Arial"/>
        <family val="2"/>
      </rPr>
      <t>GRA</t>
    </r>
    <r>
      <rPr>
        <sz val="10"/>
        <rFont val="Arial"/>
        <family val="2"/>
      </rPr>
      <t xml:space="preserve"> here and the Fringe % will automatically be set to 0 and the first year filled in based on the current GRA fringe amount.</t>
    </r>
  </si>
  <si>
    <r>
      <t xml:space="preserve">2) </t>
    </r>
    <r>
      <rPr>
        <b/>
        <sz val="10"/>
        <rFont val="Arial"/>
        <family val="2"/>
      </rPr>
      <t>Fringe benefit %:</t>
    </r>
    <r>
      <rPr>
        <sz val="10"/>
        <rFont val="Arial"/>
        <family val="2"/>
      </rPr>
      <t xml:space="preserve"> Fill in the fringe benefit % for this person (e.g., if you want to enter 28.5%, then fill in </t>
    </r>
    <r>
      <rPr>
        <b/>
        <sz val="10"/>
        <rFont val="Arial"/>
        <family val="2"/>
      </rPr>
      <t>28.5</t>
    </r>
    <r>
      <rPr>
        <sz val="10"/>
        <rFont val="Arial"/>
        <family val="2"/>
      </rPr>
      <t>).  Standard is 28.5% but you can override this amount if you want to use the person's actual fringe rate.</t>
    </r>
  </si>
  <si>
    <t>EQUIPMENT</t>
  </si>
  <si>
    <r>
      <t xml:space="preserve">1) </t>
    </r>
    <r>
      <rPr>
        <b/>
        <sz val="10"/>
        <rFont val="Arial"/>
        <family val="2"/>
      </rPr>
      <t>Equipment item:</t>
    </r>
    <r>
      <rPr>
        <sz val="10"/>
        <rFont val="Arial"/>
        <family val="2"/>
      </rPr>
      <t xml:space="preserve"> fill in the name of the piece of equipment or equipment system you are requesting from the sponsor (e.g., </t>
    </r>
    <r>
      <rPr>
        <b/>
        <sz val="10"/>
        <rFont val="Arial"/>
        <family val="2"/>
      </rPr>
      <t>Electron microscope</t>
    </r>
    <r>
      <rPr>
        <sz val="10"/>
        <rFont val="Arial"/>
        <family val="2"/>
      </rPr>
      <t>).</t>
    </r>
  </si>
  <si>
    <r>
      <t xml:space="preserve">2) </t>
    </r>
    <r>
      <rPr>
        <b/>
        <sz val="10"/>
        <rFont val="Arial"/>
        <family val="2"/>
      </rPr>
      <t>Equipment costs:</t>
    </r>
    <r>
      <rPr>
        <sz val="10"/>
        <rFont val="Arial"/>
        <family val="2"/>
      </rPr>
      <t xml:space="preserve"> fill in the cost of the equipment on this line, in the year it will be purchased.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equipment must be greater than $5,000, so if the equipment is less, list it in Other Expenses instead.  You will get an error message if you try to enter less here.</t>
    </r>
  </si>
  <si>
    <t>SUPPLIES</t>
  </si>
  <si>
    <t>Each cell is calculated automatically by taking the Target amount for that year and subtracting all other costs except subcontract indirect costs.</t>
  </si>
  <si>
    <t>HEADER</t>
  </si>
  <si>
    <t>START AND END DATES</t>
  </si>
  <si>
    <r>
      <t xml:space="preserve">5) </t>
    </r>
    <r>
      <rPr>
        <b/>
        <sz val="10"/>
        <rFont val="Arial"/>
        <family val="2"/>
      </rPr>
      <t>Years 1-5:</t>
    </r>
    <r>
      <rPr>
        <sz val="10"/>
        <rFont val="Arial"/>
        <family val="2"/>
      </rPr>
      <t xml:space="preserve"> These are calculated automatically based on the Adjusted Salary x the effort %, with a cost-of-living allowance added Years 2 and up.</t>
    </r>
  </si>
  <si>
    <t>PATIENT CARE COSTS</t>
  </si>
  <si>
    <r>
      <t xml:space="preserve">1) </t>
    </r>
    <r>
      <rPr>
        <b/>
        <sz val="10"/>
        <rFont val="Arial"/>
        <family val="2"/>
      </rPr>
      <t>Patient care items:</t>
    </r>
    <r>
      <rPr>
        <sz val="10"/>
        <rFont val="Arial"/>
        <family val="2"/>
      </rPr>
      <t xml:space="preserve"> f</t>
    </r>
    <r>
      <rPr>
        <sz val="10"/>
        <rFont val="Arial"/>
        <family val="2"/>
      </rPr>
      <t xml:space="preserve">ill in the type of patient care cost (e.g., </t>
    </r>
    <r>
      <rPr>
        <b/>
        <sz val="10"/>
        <rFont val="Arial"/>
        <family val="2"/>
      </rPr>
      <t>CT scans</t>
    </r>
    <r>
      <rPr>
        <sz val="10"/>
        <rFont val="Arial"/>
        <family val="2"/>
      </rPr>
      <t>)</t>
    </r>
  </si>
  <si>
    <r>
      <t xml:space="preserve">2) </t>
    </r>
    <r>
      <rPr>
        <b/>
        <sz val="10"/>
        <rFont val="Arial"/>
        <family val="2"/>
      </rPr>
      <t>Patient care costs:</t>
    </r>
    <r>
      <rPr>
        <sz val="10"/>
        <rFont val="Arial"/>
        <family val="2"/>
      </rPr>
      <t xml:space="preserve"> fill in the costs of patient care costs for this year in this cell.</t>
    </r>
  </si>
  <si>
    <t>ALTERATIONS/RENOVATIONS</t>
  </si>
  <si>
    <r>
      <t xml:space="preserve">1) </t>
    </r>
    <r>
      <rPr>
        <b/>
        <sz val="10"/>
        <rFont val="Arial"/>
        <family val="2"/>
      </rPr>
      <t>Alteration/renovation item: f</t>
    </r>
    <r>
      <rPr>
        <sz val="10"/>
        <rFont val="Arial"/>
        <family val="2"/>
      </rPr>
      <t xml:space="preserve">ill in a short description of the renovation or building alteration (e.g., </t>
    </r>
    <r>
      <rPr>
        <b/>
        <sz val="10"/>
        <rFont val="Arial"/>
        <family val="2"/>
      </rPr>
      <t>Hood installation</t>
    </r>
    <r>
      <rPr>
        <sz val="10"/>
        <rFont val="Arial"/>
        <family val="2"/>
      </rPr>
      <t>).</t>
    </r>
  </si>
  <si>
    <r>
      <t xml:space="preserve">2) </t>
    </r>
    <r>
      <rPr>
        <b/>
        <sz val="10"/>
        <rFont val="Arial"/>
        <family val="2"/>
      </rPr>
      <t>Alteration/renovation costs:</t>
    </r>
    <r>
      <rPr>
        <sz val="10"/>
        <rFont val="Arial"/>
        <family val="2"/>
      </rPr>
      <t xml:space="preserve"> Fill in the amount of alteration or renovation costs for this year in this cell.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if total for each line is &lt;$100,000, line will turn red as if less than $100,000 should be in the Other Expenses section.</t>
    </r>
  </si>
  <si>
    <t>OFF-SITE RENTALS</t>
  </si>
  <si>
    <r>
      <t xml:space="preserve">2) </t>
    </r>
    <r>
      <rPr>
        <b/>
        <sz val="10"/>
        <rFont val="Arial"/>
        <family val="2"/>
      </rPr>
      <t>Off-site rental costs:</t>
    </r>
    <r>
      <rPr>
        <sz val="10"/>
        <rFont val="Arial"/>
        <family val="2"/>
      </rPr>
      <t xml:space="preserve"> fill in the amount of off-site rental costs for this year in this cell.</t>
    </r>
  </si>
  <si>
    <r>
      <t xml:space="preserve">1) </t>
    </r>
    <r>
      <rPr>
        <b/>
        <sz val="10"/>
        <rFont val="Arial"/>
        <family val="2"/>
      </rPr>
      <t xml:space="preserve">Off-site rental item: </t>
    </r>
    <r>
      <rPr>
        <sz val="10"/>
        <rFont val="Arial"/>
        <family val="2"/>
      </rPr>
      <t xml:space="preserve">fill in the description the of off-site rental cost (e.g., </t>
    </r>
    <r>
      <rPr>
        <b/>
        <sz val="10"/>
        <rFont val="Arial"/>
        <family val="2"/>
      </rPr>
      <t>CTRB lobby rental)</t>
    </r>
  </si>
  <si>
    <t>SUBCONTRACTS</t>
  </si>
  <si>
    <t>Each cell is filled in automatically based on information from the Subonctracts page.</t>
  </si>
  <si>
    <t>TRAVEL</t>
  </si>
  <si>
    <r>
      <t xml:space="preserve">1) </t>
    </r>
    <r>
      <rPr>
        <b/>
        <sz val="10"/>
        <rFont val="Arial"/>
        <family val="2"/>
      </rPr>
      <t>Travel items:</t>
    </r>
    <r>
      <rPr>
        <sz val="10"/>
        <rFont val="Arial"/>
        <family val="2"/>
      </rPr>
      <t xml:space="preserve"> fill in the description the of each travel cost (e.g., </t>
    </r>
    <r>
      <rPr>
        <b/>
        <sz val="10"/>
        <rFont val="Arial"/>
        <family val="2"/>
      </rPr>
      <t>PI to 1 national meeting</t>
    </r>
    <r>
      <rPr>
        <sz val="10"/>
        <rFont val="Arial"/>
        <family val="2"/>
      </rPr>
      <t>).</t>
    </r>
  </si>
  <si>
    <r>
      <t>2) Travel costs: f</t>
    </r>
    <r>
      <rPr>
        <sz val="10"/>
        <rFont val="Arial"/>
        <family val="2"/>
      </rPr>
      <t xml:space="preserve">ill in the amount of travel costs for this year in this cell.  </t>
    </r>
  </si>
  <si>
    <r>
      <t>Tuition numbers and costs: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utomatically calculates the number of individuals requiring tuition support by taking the number of persons classified as GRA in the fringe section and multiplying that # by the amount of tuition listed on the References page.</t>
    </r>
  </si>
  <si>
    <t>TUITION</t>
  </si>
  <si>
    <t>OTHER EXPENSES</t>
  </si>
  <si>
    <r>
      <t xml:space="preserve">1) </t>
    </r>
    <r>
      <rPr>
        <b/>
        <sz val="10"/>
        <rFont val="Arial"/>
        <family val="2"/>
      </rPr>
      <t xml:space="preserve">Other expense items: </t>
    </r>
    <r>
      <rPr>
        <sz val="10"/>
        <rFont val="Arial"/>
        <family val="2"/>
      </rPr>
      <t xml:space="preserve">fill in the description the of this other expense cost (e.g., </t>
    </r>
    <r>
      <rPr>
        <b/>
        <sz val="10"/>
        <rFont val="Arial"/>
        <family val="2"/>
      </rPr>
      <t>Publications</t>
    </r>
    <r>
      <rPr>
        <sz val="10"/>
        <rFont val="Arial"/>
        <family val="2"/>
      </rPr>
      <t>)</t>
    </r>
  </si>
  <si>
    <r>
      <t xml:space="preserve">2) </t>
    </r>
    <r>
      <rPr>
        <b/>
        <sz val="10"/>
        <rFont val="Arial"/>
        <family val="2"/>
      </rPr>
      <t>Other expense costs:</t>
    </r>
    <r>
      <rPr>
        <sz val="10"/>
        <rFont val="Arial"/>
        <family val="2"/>
      </rPr>
      <t xml:space="preserve"> fill in the amount of this other expense cost for this year in this cell.  </t>
    </r>
  </si>
  <si>
    <r>
      <t xml:space="preserve">1) </t>
    </r>
    <r>
      <rPr>
        <b/>
        <sz val="10"/>
        <rFont val="Arial"/>
        <family val="2"/>
      </rPr>
      <t xml:space="preserve">Comments: </t>
    </r>
    <r>
      <rPr>
        <sz val="10"/>
        <rFont val="Arial"/>
        <family val="2"/>
      </rPr>
      <t xml:space="preserve">Enter in comments about the budget, if needed (e.g., </t>
    </r>
    <r>
      <rPr>
        <b/>
        <sz val="10"/>
        <rFont val="Arial"/>
        <family val="2"/>
      </rPr>
      <t>Burry will be promoted 8/10 so the base salary listed is the projected amount</t>
    </r>
    <r>
      <rPr>
        <sz val="10"/>
        <rFont val="Arial"/>
        <family val="2"/>
      </rPr>
      <t>).</t>
    </r>
  </si>
  <si>
    <t>EACH LISTING</t>
  </si>
  <si>
    <r>
      <t xml:space="preserve">1) </t>
    </r>
    <r>
      <rPr>
        <b/>
        <sz val="10"/>
        <rFont val="Arial"/>
        <family val="2"/>
      </rPr>
      <t>Institution:</t>
    </r>
    <r>
      <rPr>
        <sz val="10"/>
        <rFont val="Arial"/>
        <family val="2"/>
      </rPr>
      <t xml:space="preserve"> fill in the name of the institution you will be subcontracting to (e.g., </t>
    </r>
    <r>
      <rPr>
        <b/>
        <sz val="10"/>
        <rFont val="Arial"/>
        <family val="2"/>
      </rPr>
      <t>Brown University</t>
    </r>
    <r>
      <rPr>
        <sz val="10"/>
        <rFont val="Arial"/>
        <family val="2"/>
      </rPr>
      <t>).</t>
    </r>
  </si>
  <si>
    <t>Principal Investigator</t>
  </si>
  <si>
    <r>
      <t xml:space="preserve">3) </t>
    </r>
    <r>
      <rPr>
        <b/>
        <sz val="10"/>
        <rFont val="Arial"/>
        <family val="2"/>
      </rPr>
      <t>Direct costs:</t>
    </r>
    <r>
      <rPr>
        <sz val="10"/>
        <rFont val="Arial"/>
        <family val="2"/>
      </rPr>
      <t xml:space="preserve"> fill in the direct costs the subcontractee is charging for each year of the project.</t>
    </r>
  </si>
  <si>
    <r>
      <t xml:space="preserve">2) </t>
    </r>
    <r>
      <rPr>
        <b/>
        <sz val="10"/>
        <rFont val="Arial"/>
        <family val="2"/>
      </rPr>
      <t>Principal Investigator:</t>
    </r>
    <r>
      <rPr>
        <sz val="10"/>
        <rFont val="Arial"/>
        <family val="2"/>
      </rPr>
      <t xml:space="preserve"> fill in the name of the PI at this subcontract site (e.g., </t>
    </r>
    <r>
      <rPr>
        <b/>
        <sz val="10"/>
        <rFont val="Arial"/>
        <family val="2"/>
      </rPr>
      <t>Chris Meloni</t>
    </r>
    <r>
      <rPr>
        <sz val="10"/>
        <rFont val="Arial"/>
        <family val="2"/>
      </rPr>
      <t>).</t>
    </r>
  </si>
  <si>
    <r>
      <t xml:space="preserve">4) </t>
    </r>
    <r>
      <rPr>
        <b/>
        <sz val="10"/>
        <rFont val="Arial"/>
        <family val="2"/>
      </rPr>
      <t>Indirect costs:</t>
    </r>
    <r>
      <rPr>
        <sz val="10"/>
        <rFont val="Arial"/>
        <family val="2"/>
      </rPr>
      <t xml:space="preserve"> fill in the indirect costs the subcontractee is charging for each year of the project.</t>
    </r>
  </si>
  <si>
    <t>TOTAL SUBCONTRACTOR COSTS</t>
  </si>
  <si>
    <t>COST SHARES</t>
  </si>
  <si>
    <r>
      <t xml:space="preserve">1) </t>
    </r>
    <r>
      <rPr>
        <b/>
        <sz val="10"/>
        <rFont val="Arial"/>
        <family val="2"/>
      </rPr>
      <t>Speedtypes:</t>
    </r>
    <r>
      <rPr>
        <sz val="10"/>
        <rFont val="Arial"/>
        <family val="2"/>
      </rPr>
      <t xml:space="preserve"> Fill in the 5-character speedtype to be used for the cost share funding -- usually a letter plus 4 numbers, (e.g., </t>
    </r>
    <r>
      <rPr>
        <b/>
        <sz val="10"/>
        <rFont val="Arial"/>
        <family val="2"/>
      </rPr>
      <t>P0021</t>
    </r>
    <r>
      <rPr>
        <sz val="10"/>
        <rFont val="Arial"/>
        <family val="2"/>
      </rPr>
      <t>).  CANNOT be a grant speedtype.</t>
    </r>
  </si>
  <si>
    <r>
      <t xml:space="preserve">2) </t>
    </r>
    <r>
      <rPr>
        <b/>
        <sz val="10"/>
        <rFont val="Arial"/>
        <family val="2"/>
      </rPr>
      <t xml:space="preserve">Project title: </t>
    </r>
    <r>
      <rPr>
        <sz val="10"/>
        <rFont val="Arial"/>
        <family val="2"/>
      </rPr>
      <t>F</t>
    </r>
    <r>
      <rPr>
        <sz val="10"/>
        <rFont val="Arial"/>
        <family val="2"/>
      </rPr>
      <t xml:space="preserve">ill in the title as it will be submitted to the NIH </t>
    </r>
    <r>
      <rPr>
        <b/>
        <sz val="10"/>
        <rFont val="Arial"/>
        <family val="2"/>
      </rPr>
      <t>NO LONGER THAN 82 CHARACTERS</t>
    </r>
    <r>
      <rPr>
        <sz val="10"/>
        <rFont val="Arial"/>
        <family val="2"/>
      </rPr>
      <t xml:space="preserve"> (e.g., </t>
    </r>
    <r>
      <rPr>
        <b/>
        <sz val="10"/>
        <rFont val="Arial"/>
        <family val="2"/>
      </rPr>
      <t>Impact of TB on HIV-infected patients</t>
    </r>
    <r>
      <rPr>
        <sz val="10"/>
        <rFont val="Arial"/>
        <family val="2"/>
      </rPr>
      <t>).</t>
    </r>
  </si>
  <si>
    <r>
      <t xml:space="preserve">3) </t>
    </r>
    <r>
      <rPr>
        <b/>
        <sz val="10"/>
        <rFont val="Arial"/>
        <family val="2"/>
      </rPr>
      <t>COL%:</t>
    </r>
    <r>
      <rPr>
        <sz val="10"/>
        <rFont val="Arial"/>
        <family val="2"/>
      </rPr>
      <t xml:space="preserve"> use the drop-down arrow to the right of this cell to select the cost-of-living allowance increase percentage that will be used (e.g., </t>
    </r>
    <r>
      <rPr>
        <b/>
        <sz val="10"/>
        <rFont val="Arial"/>
        <family val="2"/>
      </rPr>
      <t>3%</t>
    </r>
    <r>
      <rPr>
        <sz val="10"/>
        <rFont val="Arial"/>
        <family val="2"/>
      </rPr>
      <t xml:space="preserve">).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standard is 3% and the NIH does not allow more than 3%.</t>
    </r>
  </si>
  <si>
    <r>
      <t xml:space="preserve">4) The </t>
    </r>
    <r>
      <rPr>
        <b/>
        <sz val="10"/>
        <rFont val="Arial"/>
        <family val="2"/>
      </rPr>
      <t>Adj salary</t>
    </r>
    <r>
      <rPr>
        <sz val="10"/>
        <rFont val="Arial"/>
        <family val="2"/>
      </rPr>
      <t xml:space="preserve"> adjusts any salary over the NIH cap to the cap amount.</t>
    </r>
  </si>
  <si>
    <t>MAIN NIH R03 OR R21 MODULAR BUDGET SHEET</t>
  </si>
  <si>
    <t>GRA tuition</t>
  </si>
  <si>
    <t>Additional Narrative Justification</t>
  </si>
  <si>
    <t>The following exclusions were applied to the F&amp;A base calculations:</t>
  </si>
  <si>
    <t>Total</t>
  </si>
  <si>
    <t>Equipment ≥$5K per item</t>
  </si>
  <si>
    <t>Off-Site Rental</t>
  </si>
  <si>
    <t>Patient Care</t>
  </si>
  <si>
    <t>Subcontracts &gt;$25,000</t>
  </si>
  <si>
    <t>Save selection as a PDF</t>
  </si>
  <si>
    <t>Copying to a Word document</t>
  </si>
  <si>
    <t>Difference in modules:</t>
  </si>
  <si>
    <r>
      <t xml:space="preserve">1) Click on the </t>
    </r>
    <r>
      <rPr>
        <b/>
        <sz val="11"/>
        <rFont val="Arial"/>
        <family val="2"/>
      </rPr>
      <t>Highlight cells</t>
    </r>
    <r>
      <rPr>
        <sz val="11"/>
        <rFont val="Arial"/>
        <family val="2"/>
      </rPr>
      <t xml:space="preserve"> button above.</t>
    </r>
  </si>
  <si>
    <t>2) Click on File tab at the top left of this page.</t>
  </si>
  <si>
    <r>
      <t xml:space="preserve">3) Click on </t>
    </r>
    <r>
      <rPr>
        <b/>
        <sz val="11"/>
        <rFont val="Arial"/>
        <family val="2"/>
      </rPr>
      <t>Save as Adobe PDF</t>
    </r>
  </si>
  <si>
    <t xml:space="preserve">4) Dialog box will open </t>
  </si>
  <si>
    <r>
      <t xml:space="preserve">5) In the top left, under Conversion Range, click </t>
    </r>
    <r>
      <rPr>
        <b/>
        <sz val="11"/>
        <rFont val="Arial"/>
        <family val="2"/>
      </rPr>
      <t>Selection</t>
    </r>
    <r>
      <rPr>
        <sz val="11"/>
        <rFont val="Arial"/>
        <family val="2"/>
      </rPr>
      <t xml:space="preserve">, then the </t>
    </r>
    <r>
      <rPr>
        <b/>
        <sz val="11"/>
        <rFont val="Arial"/>
        <family val="2"/>
      </rPr>
      <t>Convert to PDF</t>
    </r>
    <r>
      <rPr>
        <sz val="11"/>
        <rFont val="Arial"/>
        <family val="2"/>
      </rPr>
      <t xml:space="preserve"> button</t>
    </r>
  </si>
  <si>
    <t>6) Follow the rest of the directions you're given.</t>
  </si>
  <si>
    <t>2) Copy selection</t>
  </si>
  <si>
    <t>3) Paste in a Word document</t>
  </si>
  <si>
    <t>We are requesting an additional module in Year 1 because of additional experiments required.</t>
  </si>
  <si>
    <t>F/A calculations</t>
  </si>
  <si>
    <t>Cognizant Federal Agency</t>
  </si>
  <si>
    <t xml:space="preserve">DHHS,  Louis Martillotti, 212-264-2069 </t>
  </si>
  <si>
    <t>Indirect Cost Agreement Date</t>
  </si>
  <si>
    <r>
      <t>FACILITIES AND ADMINISTRATION</t>
    </r>
    <r>
      <rPr>
        <sz val="11"/>
        <rFont val="Arial"/>
        <family val="2"/>
      </rPr>
      <t xml:space="preserve"> (F&amp;A) costs are requested and calculated in accordance with the University’s current Rate Agreement established with DHHS. An F&amp;A rate of 53% MTDC is the applicable rate for on-campus sponsored research during the proposed project period effective 07/01/2015 – 06/30/2016 and is 54% effective 7/1/2016 – 06/30/2018.</t>
    </r>
  </si>
  <si>
    <t>GRA post-candidacy stipend</t>
  </si>
  <si>
    <t>Fringe benefit rate*</t>
  </si>
  <si>
    <t>https://louisville.edu/research/common/fringe-benefits</t>
  </si>
  <si>
    <r>
      <t xml:space="preserve">*POST-DOC FRINGE RATE: </t>
    </r>
    <r>
      <rPr>
        <sz val="9"/>
        <rFont val="Arial"/>
        <family val="2"/>
      </rPr>
      <t xml:space="preserve">UL recommends using a </t>
    </r>
    <r>
      <rPr>
        <b/>
        <sz val="9"/>
        <rFont val="Arial"/>
        <family val="2"/>
      </rPr>
      <t>39%</t>
    </r>
    <r>
      <rPr>
        <sz val="9"/>
        <rFont val="Arial"/>
        <family val="2"/>
      </rPr>
      <t xml:space="preserve"> fringe rate</t>
    </r>
  </si>
  <si>
    <t>NIH salary cap (1/8/17)</t>
  </si>
  <si>
    <t>https://grants.nih.gov/grants/guide/notice-files/NOT-OD-18-137.html</t>
  </si>
  <si>
    <t>http://louisville.edu/bursar/tuitionfee/tuitionrates1819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</si>
</sst>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164" formatCode="0.0%"/>
    <numFmt numFmtId="165" formatCode="&quot;$&quot;#,##0.00"/>
    <numFmt numFmtId="166" formatCode="_(&quot;$&quot;* #,##0_);_(&quot;$&quot;* \(#,##0\);_(&quot;$&quot;* &quot;-&quot;??_);_(@_)"/>
    <numFmt numFmtId="167" formatCode="_(&quot;$&quot;* #,##0_);_(&quot;$&quot;* \(#,##0\);_(&quot;$&quot;* &quot;-&quot;??"/>
    <numFmt numFmtId="168" formatCode="&quot;$&quot;#,##0"/>
    <numFmt numFmtId="169" formatCode="&quot;$&quot;#,##0.0000000000"/>
    <numFmt numFmtId="170" formatCode="0.0000000000"/>
    <numFmt numFmtId="171" formatCode="0.00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63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u/>
      <sz val="1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88">
    <xf numFmtId="0" fontId="0" fillId="0" borderId="0" xfId="0"/>
    <xf numFmtId="2" fontId="0" fillId="0" borderId="0" xfId="0" applyNumberFormat="1"/>
    <xf numFmtId="6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1" xfId="0" applyFont="1" applyBorder="1"/>
    <xf numFmtId="167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/>
    <xf numFmtId="167" fontId="5" fillId="0" borderId="1" xfId="0" applyNumberFormat="1" applyFont="1" applyBorder="1"/>
    <xf numFmtId="0" fontId="5" fillId="3" borderId="1" xfId="0" applyFont="1" applyFill="1" applyBorder="1" applyAlignment="1">
      <alignment horizontal="right"/>
    </xf>
    <xf numFmtId="167" fontId="5" fillId="3" borderId="1" xfId="0" applyNumberFormat="1" applyFont="1" applyFill="1" applyBorder="1"/>
    <xf numFmtId="0" fontId="5" fillId="0" borderId="1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167" fontId="5" fillId="0" borderId="2" xfId="0" applyNumberFormat="1" applyFont="1" applyBorder="1"/>
    <xf numFmtId="0" fontId="4" fillId="3" borderId="1" xfId="0" applyFont="1" applyFill="1" applyBorder="1"/>
    <xf numFmtId="49" fontId="4" fillId="0" borderId="1" xfId="0" applyNumberFormat="1" applyFont="1" applyBorder="1"/>
    <xf numFmtId="0" fontId="4" fillId="0" borderId="1" xfId="0" applyNumberFormat="1" applyFont="1" applyBorder="1"/>
    <xf numFmtId="167" fontId="6" fillId="2" borderId="1" xfId="0" applyNumberFormat="1" applyFont="1" applyFill="1" applyBorder="1"/>
    <xf numFmtId="0" fontId="2" fillId="0" borderId="0" xfId="0" applyFont="1"/>
    <xf numFmtId="0" fontId="7" fillId="0" borderId="0" xfId="0" applyFont="1"/>
    <xf numFmtId="167" fontId="8" fillId="3" borderId="1" xfId="0" applyNumberFormat="1" applyFont="1" applyFill="1" applyBorder="1"/>
    <xf numFmtId="0" fontId="10" fillId="2" borderId="0" xfId="0" applyFont="1" applyFill="1" applyAlignment="1">
      <alignment horizontal="right"/>
    </xf>
    <xf numFmtId="167" fontId="10" fillId="2" borderId="1" xfId="0" applyNumberFormat="1" applyFont="1" applyFill="1" applyBorder="1"/>
    <xf numFmtId="0" fontId="10" fillId="2" borderId="0" xfId="0" applyFont="1" applyFill="1"/>
    <xf numFmtId="0" fontId="9" fillId="0" borderId="0" xfId="0" applyFont="1"/>
    <xf numFmtId="0" fontId="8" fillId="3" borderId="0" xfId="0" applyFont="1" applyFill="1"/>
    <xf numFmtId="168" fontId="9" fillId="0" borderId="1" xfId="0" applyNumberFormat="1" applyFont="1" applyBorder="1"/>
    <xf numFmtId="0" fontId="8" fillId="3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1" xfId="0" applyFont="1" applyBorder="1"/>
    <xf numFmtId="167" fontId="9" fillId="0" borderId="1" xfId="0" applyNumberFormat="1" applyFont="1" applyBorder="1"/>
    <xf numFmtId="167" fontId="8" fillId="0" borderId="1" xfId="0" applyNumberFormat="1" applyFont="1" applyBorder="1"/>
    <xf numFmtId="0" fontId="8" fillId="0" borderId="0" xfId="0" applyFont="1"/>
    <xf numFmtId="0" fontId="8" fillId="0" borderId="0" xfId="0" applyFont="1" applyBorder="1" applyAlignment="1">
      <alignment horizontal="right"/>
    </xf>
    <xf numFmtId="167" fontId="9" fillId="0" borderId="0" xfId="0" applyNumberFormat="1" applyFont="1" applyBorder="1"/>
    <xf numFmtId="0" fontId="5" fillId="3" borderId="1" xfId="0" applyFont="1" applyFill="1" applyBorder="1"/>
    <xf numFmtId="168" fontId="5" fillId="3" borderId="1" xfId="0" applyNumberFormat="1" applyFont="1" applyFill="1" applyBorder="1"/>
    <xf numFmtId="0" fontId="6" fillId="2" borderId="0" xfId="0" applyFont="1" applyFill="1" applyAlignment="1">
      <alignment horizontal="left"/>
    </xf>
    <xf numFmtId="167" fontId="4" fillId="0" borderId="0" xfId="0" applyNumberFormat="1" applyFont="1"/>
    <xf numFmtId="0" fontId="3" fillId="3" borderId="0" xfId="0" applyFont="1" applyFill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2" borderId="3" xfId="0" applyFont="1" applyFill="1" applyBorder="1" applyAlignment="1">
      <alignment horizontal="left"/>
    </xf>
    <xf numFmtId="0" fontId="15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NumberFormat="1" applyFont="1" applyBorder="1"/>
    <xf numFmtId="2" fontId="4" fillId="3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7" fontId="8" fillId="3" borderId="4" xfId="0" applyNumberFormat="1" applyFont="1" applyFill="1" applyBorder="1"/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right"/>
    </xf>
    <xf numFmtId="168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10" fontId="4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8" fontId="0" fillId="0" borderId="1" xfId="0" applyNumberFormat="1" applyBorder="1"/>
    <xf numFmtId="10" fontId="0" fillId="0" borderId="1" xfId="0" applyNumberForma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2" borderId="0" xfId="0" applyFont="1" applyFill="1"/>
    <xf numFmtId="168" fontId="4" fillId="0" borderId="1" xfId="0" applyNumberFormat="1" applyFont="1" applyBorder="1"/>
    <xf numFmtId="0" fontId="4" fillId="0" borderId="5" xfId="0" applyFont="1" applyBorder="1"/>
    <xf numFmtId="165" fontId="4" fillId="0" borderId="1" xfId="0" applyNumberFormat="1" applyFont="1" applyBorder="1"/>
    <xf numFmtId="168" fontId="4" fillId="0" borderId="5" xfId="0" applyNumberFormat="1" applyFont="1" applyBorder="1"/>
    <xf numFmtId="0" fontId="6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5" fillId="3" borderId="1" xfId="0" applyNumberFormat="1" applyFont="1" applyFill="1" applyBorder="1"/>
    <xf numFmtId="0" fontId="6" fillId="0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4" fillId="0" borderId="0" xfId="0" applyNumberFormat="1" applyFont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/>
    <xf numFmtId="168" fontId="4" fillId="0" borderId="1" xfId="0" applyNumberFormat="1" applyFont="1" applyBorder="1" applyAlignment="1">
      <alignment horizontal="center"/>
    </xf>
    <xf numFmtId="0" fontId="17" fillId="0" borderId="0" xfId="0" applyFont="1"/>
    <xf numFmtId="49" fontId="4" fillId="4" borderId="1" xfId="0" applyNumberFormat="1" applyFont="1" applyFill="1" applyBorder="1" applyProtection="1">
      <protection locked="0"/>
    </xf>
    <xf numFmtId="166" fontId="4" fillId="4" borderId="1" xfId="0" applyNumberFormat="1" applyFont="1" applyFill="1" applyBorder="1" applyProtection="1">
      <protection locked="0"/>
    </xf>
    <xf numFmtId="164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67" fontId="4" fillId="4" borderId="1" xfId="0" applyNumberFormat="1" applyFont="1" applyFill="1" applyBorder="1" applyProtection="1">
      <protection locked="0"/>
    </xf>
    <xf numFmtId="14" fontId="5" fillId="4" borderId="1" xfId="0" applyNumberFormat="1" applyFont="1" applyFill="1" applyBorder="1" applyAlignment="1" applyProtection="1">
      <alignment horizontal="center"/>
      <protection locked="0"/>
    </xf>
    <xf numFmtId="167" fontId="9" fillId="4" borderId="1" xfId="0" applyNumberFormat="1" applyFont="1" applyFill="1" applyBorder="1" applyProtection="1">
      <protection locked="0"/>
    </xf>
    <xf numFmtId="0" fontId="1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6" fontId="5" fillId="4" borderId="1" xfId="0" applyNumberFormat="1" applyFont="1" applyFill="1" applyBorder="1" applyProtection="1">
      <protection locked="0"/>
    </xf>
    <xf numFmtId="0" fontId="0" fillId="0" borderId="0" xfId="0" applyFill="1"/>
    <xf numFmtId="0" fontId="13" fillId="0" borderId="0" xfId="0" applyFont="1" applyFill="1"/>
    <xf numFmtId="0" fontId="12" fillId="2" borderId="1" xfId="0" applyFont="1" applyFill="1" applyBorder="1"/>
    <xf numFmtId="0" fontId="11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9" fontId="4" fillId="4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2" fontId="4" fillId="0" borderId="0" xfId="0" applyNumberFormat="1" applyFont="1"/>
    <xf numFmtId="1" fontId="4" fillId="0" borderId="0" xfId="0" applyNumberFormat="1" applyFont="1"/>
    <xf numFmtId="171" fontId="4" fillId="0" borderId="0" xfId="0" applyNumberFormat="1" applyFont="1"/>
    <xf numFmtId="0" fontId="0" fillId="0" borderId="1" xfId="0" applyNumberFormat="1" applyBorder="1" applyAlignment="1">
      <alignment horizontal="center"/>
    </xf>
    <xf numFmtId="168" fontId="0" fillId="0" borderId="0" xfId="0" applyNumberFormat="1"/>
    <xf numFmtId="14" fontId="5" fillId="3" borderId="1" xfId="0" applyNumberFormat="1" applyFont="1" applyFill="1" applyBorder="1" applyAlignment="1">
      <alignment horizontal="center"/>
    </xf>
    <xf numFmtId="2" fontId="16" fillId="0" borderId="0" xfId="0" applyNumberFormat="1" applyFont="1"/>
    <xf numFmtId="0" fontId="4" fillId="0" borderId="1" xfId="0" applyFont="1" applyFill="1" applyBorder="1" applyAlignment="1" applyProtection="1">
      <alignment horizontal="center"/>
      <protection locked="0"/>
    </xf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center"/>
    </xf>
    <xf numFmtId="0" fontId="19" fillId="0" borderId="2" xfId="0" applyFont="1" applyBorder="1"/>
    <xf numFmtId="168" fontId="19" fillId="0" borderId="1" xfId="0" applyNumberFormat="1" applyFont="1" applyBorder="1"/>
    <xf numFmtId="168" fontId="18" fillId="0" borderId="1" xfId="0" applyNumberFormat="1" applyFont="1" applyBorder="1"/>
    <xf numFmtId="0" fontId="18" fillId="3" borderId="2" xfId="0" applyFont="1" applyFill="1" applyBorder="1"/>
    <xf numFmtId="0" fontId="11" fillId="0" borderId="0" xfId="0" applyFont="1"/>
    <xf numFmtId="14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right"/>
    </xf>
    <xf numFmtId="0" fontId="21" fillId="0" borderId="7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left"/>
    </xf>
    <xf numFmtId="0" fontId="0" fillId="0" borderId="5" xfId="0" applyBorder="1"/>
    <xf numFmtId="168" fontId="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3" fillId="0" borderId="0" xfId="2" applyAlignment="1">
      <alignment vertical="center"/>
    </xf>
    <xf numFmtId="0" fontId="5" fillId="0" borderId="2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49" fontId="5" fillId="4" borderId="2" xfId="0" applyNumberFormat="1" applyFont="1" applyFill="1" applyBorder="1" applyAlignment="1" applyProtection="1">
      <alignment horizontal="left"/>
      <protection locked="0"/>
    </xf>
    <xf numFmtId="49" fontId="5" fillId="4" borderId="8" xfId="0" applyNumberFormat="1" applyFont="1" applyFill="1" applyBorder="1" applyAlignment="1" applyProtection="1">
      <alignment horizontal="left"/>
      <protection locked="0"/>
    </xf>
    <xf numFmtId="14" fontId="5" fillId="0" borderId="1" xfId="0" applyNumberFormat="1" applyFont="1" applyBorder="1" applyAlignment="1">
      <alignment horizontal="left"/>
    </xf>
    <xf numFmtId="164" fontId="5" fillId="4" borderId="1" xfId="1" applyNumberFormat="1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left"/>
      <protection locked="0"/>
    </xf>
    <xf numFmtId="0" fontId="10" fillId="2" borderId="3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12" fillId="2" borderId="2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49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68" fontId="0" fillId="0" borderId="1" xfId="0" applyNumberFormat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6" fillId="2" borderId="0" xfId="0" applyFont="1" applyFill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3" fillId="0" borderId="0" xfId="2"/>
  </cellXfs>
  <cellStyles count="3">
    <cellStyle name="Hyperlink" xfId="2" builtinId="8"/>
    <cellStyle name="Normal" xfId="0" builtinId="0"/>
    <cellStyle name="Percent" xfId="1" builtinId="5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15</xdr:row>
          <xdr:rowOff>0</xdr:rowOff>
        </xdr:from>
        <xdr:to>
          <xdr:col>3</xdr:col>
          <xdr:colOff>0</xdr:colOff>
          <xdr:row>16</xdr:row>
          <xdr:rowOff>161925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Highlight cells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ouisville.edu/bursar/tuitionfee/tuitionrates1819" TargetMode="External"/><Relationship Id="rId1" Type="http://schemas.openxmlformats.org/officeDocument/2006/relationships/hyperlink" Target="https://grants.nih.gov/grants/guide/notice-files/NOT-OD-18-137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S109"/>
  <sheetViews>
    <sheetView tabSelected="1" workbookViewId="0">
      <selection activeCell="M37" sqref="M37"/>
    </sheetView>
  </sheetViews>
  <sheetFormatPr defaultRowHeight="12" x14ac:dyDescent="0.2"/>
  <cols>
    <col min="1" max="1" width="25" style="3" customWidth="1"/>
    <col min="2" max="3" width="11.7109375" style="3" customWidth="1"/>
    <col min="4" max="6" width="10.7109375" style="3" customWidth="1"/>
    <col min="7" max="7" width="1.7109375" style="3" customWidth="1"/>
    <col min="8" max="8" width="10.7109375" style="3" customWidth="1"/>
    <col min="9" max="9" width="8.28515625" style="3" customWidth="1"/>
    <col min="10" max="10" width="1.5703125" style="3" customWidth="1"/>
    <col min="11" max="11" width="24.140625" style="3" customWidth="1"/>
    <col min="12" max="13" width="10.7109375" style="3" customWidth="1"/>
    <col min="14" max="14" width="1" style="3" customWidth="1"/>
    <col min="15" max="15" width="10.7109375" style="3" customWidth="1"/>
    <col min="16" max="16384" width="9.140625" style="3"/>
  </cols>
  <sheetData>
    <row r="2" spans="1:16" s="51" customFormat="1" ht="15.75" x14ac:dyDescent="0.25">
      <c r="A2" s="160" t="s">
        <v>164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x14ac:dyDescent="0.2">
      <c r="A3" s="12" t="s">
        <v>0</v>
      </c>
      <c r="B3" s="161"/>
      <c r="C3" s="162"/>
      <c r="D3" s="162"/>
      <c r="E3" s="162"/>
      <c r="F3" s="162"/>
      <c r="H3" s="54"/>
      <c r="K3" s="52"/>
    </row>
    <row r="4" spans="1:16" ht="12.75" x14ac:dyDescent="0.2">
      <c r="A4" s="12" t="s">
        <v>1</v>
      </c>
      <c r="B4" s="163"/>
      <c r="C4" s="164"/>
      <c r="D4" s="164"/>
      <c r="E4" s="164"/>
      <c r="F4" s="164"/>
      <c r="H4" s="117"/>
      <c r="K4" s="53"/>
    </row>
    <row r="5" spans="1:16" x14ac:dyDescent="0.2">
      <c r="A5" s="12" t="s">
        <v>8</v>
      </c>
      <c r="B5" s="165">
        <f>E8</f>
        <v>43435</v>
      </c>
      <c r="C5" s="165"/>
      <c r="D5" s="165"/>
      <c r="E5" s="165"/>
      <c r="F5" s="165"/>
      <c r="K5" s="87"/>
    </row>
    <row r="6" spans="1:16" x14ac:dyDescent="0.2">
      <c r="A6" s="12" t="s">
        <v>9</v>
      </c>
      <c r="B6" s="165">
        <f>F9</f>
        <v>44165</v>
      </c>
      <c r="C6" s="165"/>
      <c r="D6" s="165"/>
      <c r="E6" s="165"/>
      <c r="F6" s="165"/>
      <c r="K6" s="53"/>
    </row>
    <row r="7" spans="1:16" x14ac:dyDescent="0.2">
      <c r="A7" s="12" t="s">
        <v>110</v>
      </c>
      <c r="B7" s="166">
        <v>0.03</v>
      </c>
      <c r="C7" s="166"/>
      <c r="D7" s="166"/>
      <c r="E7" s="166"/>
      <c r="F7" s="166"/>
      <c r="G7" s="4"/>
    </row>
    <row r="8" spans="1:16" s="5" customFormat="1" ht="12.75" customHeight="1" x14ac:dyDescent="0.2">
      <c r="D8" s="45" t="s">
        <v>64</v>
      </c>
      <c r="E8" s="93">
        <v>43435</v>
      </c>
      <c r="F8" s="46">
        <f>EDATE(E8,12)</f>
        <v>43800</v>
      </c>
      <c r="G8" s="6"/>
      <c r="K8" s="167" t="s">
        <v>28</v>
      </c>
      <c r="L8" s="116">
        <f>E8</f>
        <v>43435</v>
      </c>
      <c r="M8" s="116">
        <f>F8</f>
        <v>43800</v>
      </c>
      <c r="N8" s="39"/>
      <c r="O8" s="39"/>
    </row>
    <row r="9" spans="1:16" s="5" customFormat="1" x14ac:dyDescent="0.2">
      <c r="D9" s="45" t="s">
        <v>65</v>
      </c>
      <c r="E9" s="46">
        <f>F8-1</f>
        <v>43799</v>
      </c>
      <c r="F9" s="46">
        <f>EDATE(E9,12)</f>
        <v>44165</v>
      </c>
      <c r="G9" s="6"/>
      <c r="K9" s="167"/>
      <c r="L9" s="116">
        <f>E9</f>
        <v>43799</v>
      </c>
      <c r="M9" s="116">
        <f>F9</f>
        <v>44165</v>
      </c>
      <c r="N9" s="39"/>
      <c r="O9" s="39"/>
    </row>
    <row r="10" spans="1:16" s="4" customFormat="1" x14ac:dyDescent="0.2">
      <c r="A10" s="41" t="s">
        <v>59</v>
      </c>
      <c r="B10" s="7" t="s">
        <v>14</v>
      </c>
      <c r="C10" s="7" t="s">
        <v>6</v>
      </c>
      <c r="D10" s="7" t="s">
        <v>2</v>
      </c>
      <c r="E10" s="7" t="s">
        <v>4</v>
      </c>
      <c r="F10" s="7" t="s">
        <v>5</v>
      </c>
      <c r="G10" s="7"/>
      <c r="H10" s="7" t="s">
        <v>7</v>
      </c>
      <c r="I10" s="15" t="s">
        <v>27</v>
      </c>
      <c r="K10" s="7" t="s">
        <v>33</v>
      </c>
      <c r="L10" s="7" t="s">
        <v>4</v>
      </c>
      <c r="M10" s="7" t="s">
        <v>5</v>
      </c>
      <c r="N10" s="7"/>
      <c r="O10" s="7" t="s">
        <v>7</v>
      </c>
      <c r="P10" s="15" t="s">
        <v>32</v>
      </c>
    </row>
    <row r="11" spans="1:16" x14ac:dyDescent="0.2">
      <c r="A11" s="88"/>
      <c r="B11" s="89">
        <v>0</v>
      </c>
      <c r="C11" s="9">
        <f>IF(B11&gt;L35,L35,B11)</f>
        <v>0</v>
      </c>
      <c r="D11" s="104">
        <v>0</v>
      </c>
      <c r="E11" s="10">
        <f t="shared" ref="E11:E20" si="0">ROUND(C11*D11,0)</f>
        <v>0</v>
      </c>
      <c r="F11" s="10">
        <f>IF(B11&gt;L35,C11*D11,ROUND(E11*(1+B7),0))</f>
        <v>0</v>
      </c>
      <c r="G11" s="10"/>
      <c r="H11" s="17">
        <f t="shared" ref="H11:H21" si="1">SUM(E11:F11)</f>
        <v>0</v>
      </c>
      <c r="I11" s="55">
        <f t="shared" ref="I11:I20" si="2">D11*12</f>
        <v>0</v>
      </c>
      <c r="K11" s="8" t="str">
        <f>IF(B11&gt;L35,A11,"")</f>
        <v/>
      </c>
      <c r="L11" s="10">
        <f t="shared" ref="L11:L20" si="3">ROUND(IF(K11="",0,(ROUND(((B11-C11)*D11),0))),0)</f>
        <v>0</v>
      </c>
      <c r="M11" s="10">
        <f>ROUND(L11*(1+B7),0)</f>
        <v>0</v>
      </c>
      <c r="N11" s="10"/>
      <c r="O11" s="17">
        <f t="shared" ref="O11:O21" si="4">ROUND(SUM(L11:M11),0)</f>
        <v>0</v>
      </c>
      <c r="P11" s="118"/>
    </row>
    <row r="12" spans="1:16" x14ac:dyDescent="0.2">
      <c r="A12" s="88"/>
      <c r="B12" s="89">
        <v>0</v>
      </c>
      <c r="C12" s="9">
        <f>IF(B12&gt;L35,L35,B12)</f>
        <v>0</v>
      </c>
      <c r="D12" s="104">
        <v>0</v>
      </c>
      <c r="E12" s="10">
        <f t="shared" si="0"/>
        <v>0</v>
      </c>
      <c r="F12" s="10">
        <f>IF(B12&gt;L35,C12*D12,ROUND(E12*(1+B7),0))</f>
        <v>0</v>
      </c>
      <c r="G12" s="10"/>
      <c r="H12" s="17">
        <f t="shared" si="1"/>
        <v>0</v>
      </c>
      <c r="I12" s="55">
        <f t="shared" si="2"/>
        <v>0</v>
      </c>
      <c r="K12" s="20" t="str">
        <f>IF(B12&gt;L35,A12,"")</f>
        <v/>
      </c>
      <c r="L12" s="10">
        <f t="shared" si="3"/>
        <v>0</v>
      </c>
      <c r="M12" s="10">
        <f>ROUND(L12*(1+B7),0)</f>
        <v>0</v>
      </c>
      <c r="N12" s="10"/>
      <c r="O12" s="17">
        <f t="shared" si="4"/>
        <v>0</v>
      </c>
      <c r="P12" s="118"/>
    </row>
    <row r="13" spans="1:16" x14ac:dyDescent="0.2">
      <c r="A13" s="88"/>
      <c r="B13" s="89">
        <v>0</v>
      </c>
      <c r="C13" s="9">
        <f>IF(B13&gt;L35,L35,B13)</f>
        <v>0</v>
      </c>
      <c r="D13" s="104">
        <v>0</v>
      </c>
      <c r="E13" s="10">
        <f t="shared" si="0"/>
        <v>0</v>
      </c>
      <c r="F13" s="10">
        <f>IF(B13&gt;L35,C13*D13,ROUND(E13*(1+B7),0))</f>
        <v>0</v>
      </c>
      <c r="G13" s="10"/>
      <c r="H13" s="17">
        <f t="shared" si="1"/>
        <v>0</v>
      </c>
      <c r="I13" s="55">
        <f t="shared" si="2"/>
        <v>0</v>
      </c>
      <c r="K13" s="20" t="str">
        <f>IF(B13&gt;L35,A13,"")</f>
        <v/>
      </c>
      <c r="L13" s="10">
        <f t="shared" si="3"/>
        <v>0</v>
      </c>
      <c r="M13" s="10">
        <f>ROUND(L13*(1+B7),0)</f>
        <v>0</v>
      </c>
      <c r="N13" s="10"/>
      <c r="O13" s="17">
        <f t="shared" si="4"/>
        <v>0</v>
      </c>
      <c r="P13" s="118"/>
    </row>
    <row r="14" spans="1:16" x14ac:dyDescent="0.2">
      <c r="A14" s="88"/>
      <c r="B14" s="89">
        <v>0</v>
      </c>
      <c r="C14" s="9">
        <f>IF(B14&gt;L35,L35,B14)</f>
        <v>0</v>
      </c>
      <c r="D14" s="104">
        <v>0</v>
      </c>
      <c r="E14" s="10">
        <f t="shared" si="0"/>
        <v>0</v>
      </c>
      <c r="F14" s="10">
        <f>IF(B14&gt;L35,C14*D14,ROUND(E14*(1+B7),0))</f>
        <v>0</v>
      </c>
      <c r="G14" s="10"/>
      <c r="H14" s="17">
        <f t="shared" si="1"/>
        <v>0</v>
      </c>
      <c r="I14" s="55">
        <f t="shared" si="2"/>
        <v>0</v>
      </c>
      <c r="J14" s="2"/>
      <c r="K14" s="20" t="str">
        <f>IF(B14&gt;L35,A14,"")</f>
        <v/>
      </c>
      <c r="L14" s="10">
        <f t="shared" si="3"/>
        <v>0</v>
      </c>
      <c r="M14" s="10">
        <f>ROUND(L14*(1+B7),0)</f>
        <v>0</v>
      </c>
      <c r="N14" s="10"/>
      <c r="O14" s="17">
        <f t="shared" si="4"/>
        <v>0</v>
      </c>
      <c r="P14" s="118"/>
    </row>
    <row r="15" spans="1:16" x14ac:dyDescent="0.2">
      <c r="A15" s="88"/>
      <c r="B15" s="89">
        <v>0</v>
      </c>
      <c r="C15" s="9">
        <f>IF(B15&gt;L35,L35,B15)</f>
        <v>0</v>
      </c>
      <c r="D15" s="104">
        <v>0</v>
      </c>
      <c r="E15" s="10">
        <f t="shared" si="0"/>
        <v>0</v>
      </c>
      <c r="F15" s="10">
        <f>IF(B15&gt;L35,C15*D15,ROUND(E15*(1+B7),0))</f>
        <v>0</v>
      </c>
      <c r="G15" s="10"/>
      <c r="H15" s="17">
        <f t="shared" si="1"/>
        <v>0</v>
      </c>
      <c r="I15" s="55">
        <f t="shared" si="2"/>
        <v>0</v>
      </c>
      <c r="K15" s="20" t="str">
        <f>IF(B15&gt;L35,A15,"")</f>
        <v/>
      </c>
      <c r="L15" s="10">
        <f t="shared" si="3"/>
        <v>0</v>
      </c>
      <c r="M15" s="10">
        <f>ROUND(L15*(1+B7),0)</f>
        <v>0</v>
      </c>
      <c r="N15" s="10"/>
      <c r="O15" s="17">
        <f t="shared" si="4"/>
        <v>0</v>
      </c>
      <c r="P15" s="118"/>
    </row>
    <row r="16" spans="1:16" x14ac:dyDescent="0.2">
      <c r="A16" s="88"/>
      <c r="B16" s="89">
        <v>0</v>
      </c>
      <c r="C16" s="9">
        <f>IF(B16&gt;L35,L35,B16)</f>
        <v>0</v>
      </c>
      <c r="D16" s="104">
        <v>0</v>
      </c>
      <c r="E16" s="10">
        <f t="shared" si="0"/>
        <v>0</v>
      </c>
      <c r="F16" s="10">
        <f>IF(B16&gt;L35,C16*D16,ROUND(E16*(1+B7),0))</f>
        <v>0</v>
      </c>
      <c r="G16" s="10"/>
      <c r="H16" s="17">
        <f t="shared" si="1"/>
        <v>0</v>
      </c>
      <c r="I16" s="55">
        <f t="shared" si="2"/>
        <v>0</v>
      </c>
      <c r="K16" s="20" t="str">
        <f>IF(B16&gt;L35,A16,"")</f>
        <v/>
      </c>
      <c r="L16" s="10">
        <f t="shared" si="3"/>
        <v>0</v>
      </c>
      <c r="M16" s="10">
        <f>ROUND(L16*(1+B7),0)</f>
        <v>0</v>
      </c>
      <c r="N16" s="10"/>
      <c r="O16" s="17">
        <f t="shared" si="4"/>
        <v>0</v>
      </c>
      <c r="P16" s="118"/>
    </row>
    <row r="17" spans="1:16" x14ac:dyDescent="0.2">
      <c r="A17" s="88"/>
      <c r="B17" s="89">
        <v>0</v>
      </c>
      <c r="C17" s="9">
        <f>IF(B17&gt;L35,L35,B17)</f>
        <v>0</v>
      </c>
      <c r="D17" s="104">
        <v>0</v>
      </c>
      <c r="E17" s="10">
        <f t="shared" si="0"/>
        <v>0</v>
      </c>
      <c r="F17" s="10">
        <f>IF(B17&gt;L35,C17*D17,ROUND(E17*(1+B7),0))</f>
        <v>0</v>
      </c>
      <c r="G17" s="10"/>
      <c r="H17" s="17">
        <f t="shared" si="1"/>
        <v>0</v>
      </c>
      <c r="I17" s="55">
        <f t="shared" si="2"/>
        <v>0</v>
      </c>
      <c r="K17" s="20" t="str">
        <f>IF(B17&gt;L35,A17,"")</f>
        <v/>
      </c>
      <c r="L17" s="10">
        <f t="shared" si="3"/>
        <v>0</v>
      </c>
      <c r="M17" s="10">
        <f>ROUND(L17*(1+B7),0)</f>
        <v>0</v>
      </c>
      <c r="N17" s="10"/>
      <c r="O17" s="17">
        <f t="shared" si="4"/>
        <v>0</v>
      </c>
      <c r="P17" s="118"/>
    </row>
    <row r="18" spans="1:16" x14ac:dyDescent="0.2">
      <c r="A18" s="88"/>
      <c r="B18" s="89">
        <v>0</v>
      </c>
      <c r="C18" s="9">
        <f>IF(B18&gt;L35,L35,B18)</f>
        <v>0</v>
      </c>
      <c r="D18" s="104">
        <v>0</v>
      </c>
      <c r="E18" s="10">
        <f t="shared" si="0"/>
        <v>0</v>
      </c>
      <c r="F18" s="10">
        <f>IF(B18&gt;L35,C18*D18,ROUND(E18*(1+B7),0))</f>
        <v>0</v>
      </c>
      <c r="G18" s="10"/>
      <c r="H18" s="17">
        <f t="shared" si="1"/>
        <v>0</v>
      </c>
      <c r="I18" s="55">
        <f t="shared" si="2"/>
        <v>0</v>
      </c>
      <c r="K18" s="20" t="str">
        <f>IF(B18&gt;L35,A18,"")</f>
        <v/>
      </c>
      <c r="L18" s="10">
        <f t="shared" si="3"/>
        <v>0</v>
      </c>
      <c r="M18" s="10">
        <f>ROUND(L18*(1+B7),0)</f>
        <v>0</v>
      </c>
      <c r="N18" s="10"/>
      <c r="O18" s="17">
        <f t="shared" si="4"/>
        <v>0</v>
      </c>
      <c r="P18" s="118"/>
    </row>
    <row r="19" spans="1:16" x14ac:dyDescent="0.2">
      <c r="A19" s="88"/>
      <c r="B19" s="89">
        <v>0</v>
      </c>
      <c r="C19" s="9">
        <f>IF(B19&gt;L35,L35,B19)</f>
        <v>0</v>
      </c>
      <c r="D19" s="104">
        <v>0</v>
      </c>
      <c r="E19" s="10">
        <f t="shared" si="0"/>
        <v>0</v>
      </c>
      <c r="F19" s="10">
        <f>IF(B19&gt;L35,C19*D19,ROUND(E19*(1+B7),0))</f>
        <v>0</v>
      </c>
      <c r="G19" s="10"/>
      <c r="H19" s="17">
        <f t="shared" si="1"/>
        <v>0</v>
      </c>
      <c r="I19" s="55">
        <f t="shared" si="2"/>
        <v>0</v>
      </c>
      <c r="K19" s="20" t="str">
        <f>IF(B19&gt;L35,A19,"")</f>
        <v/>
      </c>
      <c r="L19" s="10">
        <f t="shared" si="3"/>
        <v>0</v>
      </c>
      <c r="M19" s="10">
        <f>ROUND(L19*(1+B7),0)</f>
        <v>0</v>
      </c>
      <c r="N19" s="10"/>
      <c r="O19" s="17">
        <f t="shared" si="4"/>
        <v>0</v>
      </c>
      <c r="P19" s="118"/>
    </row>
    <row r="20" spans="1:16" x14ac:dyDescent="0.2">
      <c r="A20" s="88"/>
      <c r="B20" s="89">
        <v>0</v>
      </c>
      <c r="C20" s="9">
        <f>IF(B20&gt;L35,L35,B20)</f>
        <v>0</v>
      </c>
      <c r="D20" s="104">
        <v>0</v>
      </c>
      <c r="E20" s="10">
        <f t="shared" si="0"/>
        <v>0</v>
      </c>
      <c r="F20" s="10">
        <f>IF(B20&gt;L35,C20*D20,ROUND(E20*(1+B7),0))</f>
        <v>0</v>
      </c>
      <c r="G20" s="10"/>
      <c r="H20" s="17">
        <f t="shared" si="1"/>
        <v>0</v>
      </c>
      <c r="I20" s="55">
        <f t="shared" si="2"/>
        <v>0</v>
      </c>
      <c r="K20" s="20" t="str">
        <f>IF(B20&gt;L35,A20,"")</f>
        <v/>
      </c>
      <c r="L20" s="10">
        <f t="shared" si="3"/>
        <v>0</v>
      </c>
      <c r="M20" s="10">
        <f>ROUND(L20*(1+B7),0)</f>
        <v>0</v>
      </c>
      <c r="N20" s="10"/>
      <c r="O20" s="17">
        <f t="shared" si="4"/>
        <v>0</v>
      </c>
      <c r="P20" s="91"/>
    </row>
    <row r="21" spans="1:16" s="5" customFormat="1" x14ac:dyDescent="0.2">
      <c r="A21" s="147" t="s">
        <v>10</v>
      </c>
      <c r="B21" s="148"/>
      <c r="C21" s="148"/>
      <c r="D21" s="149"/>
      <c r="E21" s="13">
        <f>SUM(E11:E20)</f>
        <v>0</v>
      </c>
      <c r="F21" s="13">
        <f>SUM(F11:F20)</f>
        <v>0</v>
      </c>
      <c r="G21" s="13"/>
      <c r="H21" s="13">
        <f t="shared" si="1"/>
        <v>0</v>
      </c>
      <c r="K21" s="16" t="s">
        <v>10</v>
      </c>
      <c r="L21" s="13">
        <f>ROUND(SUM(L11:L20),0)</f>
        <v>0</v>
      </c>
      <c r="M21" s="13">
        <f>ROUND(SUM(M11:M20),0)</f>
        <v>0</v>
      </c>
      <c r="N21" s="13"/>
      <c r="O21" s="13">
        <f t="shared" si="4"/>
        <v>0</v>
      </c>
      <c r="P21" s="4"/>
    </row>
    <row r="22" spans="1:16" s="4" customFormat="1" x14ac:dyDescent="0.2">
      <c r="A22" s="41" t="s">
        <v>11</v>
      </c>
      <c r="B22" s="7"/>
      <c r="C22" s="7" t="s">
        <v>62</v>
      </c>
      <c r="D22" s="7" t="s">
        <v>12</v>
      </c>
      <c r="E22" s="7" t="s">
        <v>4</v>
      </c>
      <c r="F22" s="7" t="s">
        <v>5</v>
      </c>
      <c r="G22" s="7"/>
      <c r="H22" s="7" t="s">
        <v>7</v>
      </c>
      <c r="K22" s="7" t="s">
        <v>11</v>
      </c>
      <c r="L22" s="7" t="s">
        <v>4</v>
      </c>
      <c r="M22" s="7" t="s">
        <v>5</v>
      </c>
      <c r="N22" s="7"/>
      <c r="O22" s="7" t="s">
        <v>7</v>
      </c>
      <c r="P22" s="15" t="s">
        <v>32</v>
      </c>
    </row>
    <row r="23" spans="1:16" x14ac:dyDescent="0.2">
      <c r="A23" s="154" t="str">
        <f>IF(ISBLANK(A11),"",A11)</f>
        <v/>
      </c>
      <c r="B23" s="155"/>
      <c r="C23" s="91"/>
      <c r="D23" s="90">
        <f>IF(C23="GRA",0,L36)</f>
        <v>0.28499999999999998</v>
      </c>
      <c r="E23" s="10">
        <f>ROUND(IF(C23="GRA",L37,E11*D23),0)</f>
        <v>0</v>
      </c>
      <c r="F23" s="10">
        <f>ROUND(IF(C23="GRA",E23*(1+B7),F11*D23),0)</f>
        <v>0</v>
      </c>
      <c r="G23" s="8"/>
      <c r="H23" s="11">
        <f t="shared" ref="H23:H33" si="5">SUM(E23:F23)</f>
        <v>0</v>
      </c>
      <c r="K23" s="20" t="str">
        <f>IF(ISBLANK(K11),"",K11)</f>
        <v/>
      </c>
      <c r="L23" s="10">
        <f t="shared" ref="L23:L32" si="6">ROUND(L11*D23,0)</f>
        <v>0</v>
      </c>
      <c r="M23" s="10">
        <f t="shared" ref="M23:M32" si="7">ROUND(M11*D23,0)</f>
        <v>0</v>
      </c>
      <c r="N23" s="8"/>
      <c r="O23" s="11">
        <f t="shared" ref="O23:O33" si="8">ROUND(SUM(L23:M23),0)</f>
        <v>0</v>
      </c>
      <c r="P23" s="96" t="str">
        <f>IF(ISBLANK(P11),"",P11)</f>
        <v/>
      </c>
    </row>
    <row r="24" spans="1:16" x14ac:dyDescent="0.2">
      <c r="A24" s="154" t="str">
        <f t="shared" ref="A24:A32" si="9">IF(ISBLANK(A12),"",A12)</f>
        <v/>
      </c>
      <c r="B24" s="155"/>
      <c r="C24" s="91"/>
      <c r="D24" s="90">
        <f>IF(C24="GRA",0,L36)</f>
        <v>0.28499999999999998</v>
      </c>
      <c r="E24" s="10">
        <f>ROUND(IF(C24="GRA",L37,E12*D24),0)</f>
        <v>0</v>
      </c>
      <c r="F24" s="10">
        <f>ROUND(IF(C24="GRA",E24*(1+B7),F12*D24),0)</f>
        <v>0</v>
      </c>
      <c r="G24" s="8"/>
      <c r="H24" s="11">
        <f t="shared" si="5"/>
        <v>0</v>
      </c>
      <c r="K24" s="20" t="str">
        <f t="shared" ref="K24:K32" si="10">IF(ISBLANK(K12),"",K12)</f>
        <v/>
      </c>
      <c r="L24" s="10">
        <f t="shared" si="6"/>
        <v>0</v>
      </c>
      <c r="M24" s="10">
        <f t="shared" si="7"/>
        <v>0</v>
      </c>
      <c r="N24" s="8"/>
      <c r="O24" s="11">
        <f t="shared" si="8"/>
        <v>0</v>
      </c>
      <c r="P24" s="96" t="str">
        <f t="shared" ref="P24:P32" si="11">IF(ISBLANK(P12),"",P12)</f>
        <v/>
      </c>
    </row>
    <row r="25" spans="1:16" x14ac:dyDescent="0.2">
      <c r="A25" s="154" t="str">
        <f t="shared" si="9"/>
        <v/>
      </c>
      <c r="B25" s="155"/>
      <c r="C25" s="91"/>
      <c r="D25" s="90">
        <f>IF(C25="GRA",0,L36)</f>
        <v>0.28499999999999998</v>
      </c>
      <c r="E25" s="10">
        <f>ROUND(IF(C25="GRA",L37,E13*D25),0)</f>
        <v>0</v>
      </c>
      <c r="F25" s="10">
        <f>ROUND(IF(C25="GRA",E25*(1+B7),F13*D25),0)</f>
        <v>0</v>
      </c>
      <c r="G25" s="8"/>
      <c r="H25" s="11">
        <f t="shared" si="5"/>
        <v>0</v>
      </c>
      <c r="K25" s="20" t="str">
        <f t="shared" si="10"/>
        <v/>
      </c>
      <c r="L25" s="10">
        <f t="shared" si="6"/>
        <v>0</v>
      </c>
      <c r="M25" s="10">
        <f t="shared" si="7"/>
        <v>0</v>
      </c>
      <c r="N25" s="8"/>
      <c r="O25" s="11">
        <f t="shared" si="8"/>
        <v>0</v>
      </c>
      <c r="P25" s="96" t="str">
        <f t="shared" si="11"/>
        <v/>
      </c>
    </row>
    <row r="26" spans="1:16" x14ac:dyDescent="0.2">
      <c r="A26" s="154" t="str">
        <f t="shared" si="9"/>
        <v/>
      </c>
      <c r="B26" s="155"/>
      <c r="C26" s="91"/>
      <c r="D26" s="90">
        <f>IF(C26="GRA",0,L36)</f>
        <v>0.28499999999999998</v>
      </c>
      <c r="E26" s="10">
        <f>ROUND(IF(C26="GRA",L37,E14*D26),0)</f>
        <v>0</v>
      </c>
      <c r="F26" s="10">
        <f>ROUND(IF(C26="GRA",E26*(1+B7),F14*D26),0)</f>
        <v>0</v>
      </c>
      <c r="G26" s="8"/>
      <c r="H26" s="11">
        <f t="shared" si="5"/>
        <v>0</v>
      </c>
      <c r="K26" s="20" t="str">
        <f t="shared" si="10"/>
        <v/>
      </c>
      <c r="L26" s="10">
        <f t="shared" si="6"/>
        <v>0</v>
      </c>
      <c r="M26" s="10">
        <f t="shared" si="7"/>
        <v>0</v>
      </c>
      <c r="N26" s="8"/>
      <c r="O26" s="11">
        <f t="shared" si="8"/>
        <v>0</v>
      </c>
      <c r="P26" s="96" t="str">
        <f t="shared" si="11"/>
        <v/>
      </c>
    </row>
    <row r="27" spans="1:16" x14ac:dyDescent="0.2">
      <c r="A27" s="154" t="str">
        <f t="shared" si="9"/>
        <v/>
      </c>
      <c r="B27" s="155"/>
      <c r="C27" s="91"/>
      <c r="D27" s="90">
        <f>IF(C27="GRA",0,L36)</f>
        <v>0.28499999999999998</v>
      </c>
      <c r="E27" s="10">
        <f>ROUND(IF(C27="GRA",L37,E15*D27),0)</f>
        <v>0</v>
      </c>
      <c r="F27" s="10">
        <f>ROUND(IF(C27="GRA",E27*(1+B7),F15*D27),0)</f>
        <v>0</v>
      </c>
      <c r="G27" s="8"/>
      <c r="H27" s="11">
        <f t="shared" si="5"/>
        <v>0</v>
      </c>
      <c r="K27" s="20" t="str">
        <f t="shared" si="10"/>
        <v/>
      </c>
      <c r="L27" s="10">
        <f t="shared" si="6"/>
        <v>0</v>
      </c>
      <c r="M27" s="10">
        <f t="shared" si="7"/>
        <v>0</v>
      </c>
      <c r="N27" s="8"/>
      <c r="O27" s="11">
        <f t="shared" si="8"/>
        <v>0</v>
      </c>
      <c r="P27" s="96" t="str">
        <f t="shared" si="11"/>
        <v/>
      </c>
    </row>
    <row r="28" spans="1:16" x14ac:dyDescent="0.2">
      <c r="A28" s="154" t="str">
        <f t="shared" si="9"/>
        <v/>
      </c>
      <c r="B28" s="155"/>
      <c r="C28" s="91"/>
      <c r="D28" s="90">
        <f>IF(C28="GRA",0,L36)</f>
        <v>0.28499999999999998</v>
      </c>
      <c r="E28" s="10">
        <f>ROUND(IF(C28="GRA",L37,E16*D28),0)</f>
        <v>0</v>
      </c>
      <c r="F28" s="10">
        <f>ROUND(IF(C28="GRA",E28*(1+B7),F16*D28),0)</f>
        <v>0</v>
      </c>
      <c r="G28" s="8"/>
      <c r="H28" s="11">
        <f t="shared" si="5"/>
        <v>0</v>
      </c>
      <c r="K28" s="20" t="str">
        <f t="shared" si="10"/>
        <v/>
      </c>
      <c r="L28" s="10">
        <f t="shared" si="6"/>
        <v>0</v>
      </c>
      <c r="M28" s="10">
        <f t="shared" si="7"/>
        <v>0</v>
      </c>
      <c r="N28" s="8"/>
      <c r="O28" s="11">
        <f t="shared" si="8"/>
        <v>0</v>
      </c>
      <c r="P28" s="96" t="str">
        <f t="shared" si="11"/>
        <v/>
      </c>
    </row>
    <row r="29" spans="1:16" x14ac:dyDescent="0.2">
      <c r="A29" s="154" t="str">
        <f t="shared" si="9"/>
        <v/>
      </c>
      <c r="B29" s="155"/>
      <c r="C29" s="91"/>
      <c r="D29" s="90">
        <f>IF(C29="GRA",0,L36)</f>
        <v>0.28499999999999998</v>
      </c>
      <c r="E29" s="10">
        <f>ROUND(IF(C29="GRA",L37,E17*D29),0)</f>
        <v>0</v>
      </c>
      <c r="F29" s="10">
        <f>ROUND(IF(C29="GRA",E29*(1+B7),F17*D29),0)</f>
        <v>0</v>
      </c>
      <c r="G29" s="8"/>
      <c r="H29" s="11">
        <f t="shared" si="5"/>
        <v>0</v>
      </c>
      <c r="K29" s="20" t="str">
        <f t="shared" si="10"/>
        <v/>
      </c>
      <c r="L29" s="10">
        <f t="shared" si="6"/>
        <v>0</v>
      </c>
      <c r="M29" s="10">
        <f t="shared" si="7"/>
        <v>0</v>
      </c>
      <c r="N29" s="8"/>
      <c r="O29" s="11">
        <f t="shared" si="8"/>
        <v>0</v>
      </c>
      <c r="P29" s="96" t="str">
        <f t="shared" si="11"/>
        <v/>
      </c>
    </row>
    <row r="30" spans="1:16" x14ac:dyDescent="0.2">
      <c r="A30" s="154" t="str">
        <f t="shared" si="9"/>
        <v/>
      </c>
      <c r="B30" s="155"/>
      <c r="C30" s="91"/>
      <c r="D30" s="90">
        <f>IF(C30="GRA",0,L36)</f>
        <v>0.28499999999999998</v>
      </c>
      <c r="E30" s="10">
        <f>ROUND(IF(C30="GRA",L37,E18*D30),0)</f>
        <v>0</v>
      </c>
      <c r="F30" s="10">
        <f>ROUND(IF(C30="GRA",E30*(1+B7),F18*D30),0)</f>
        <v>0</v>
      </c>
      <c r="G30" s="8"/>
      <c r="H30" s="11">
        <f t="shared" si="5"/>
        <v>0</v>
      </c>
      <c r="K30" s="20" t="str">
        <f t="shared" si="10"/>
        <v/>
      </c>
      <c r="L30" s="10">
        <f t="shared" si="6"/>
        <v>0</v>
      </c>
      <c r="M30" s="10">
        <f t="shared" si="7"/>
        <v>0</v>
      </c>
      <c r="N30" s="8"/>
      <c r="O30" s="11">
        <f t="shared" si="8"/>
        <v>0</v>
      </c>
      <c r="P30" s="96" t="str">
        <f t="shared" si="11"/>
        <v/>
      </c>
    </row>
    <row r="31" spans="1:16" x14ac:dyDescent="0.2">
      <c r="A31" s="154" t="str">
        <f t="shared" si="9"/>
        <v/>
      </c>
      <c r="B31" s="155"/>
      <c r="C31" s="91"/>
      <c r="D31" s="90">
        <f>IF(C31="GRA",0,L36)</f>
        <v>0.28499999999999998</v>
      </c>
      <c r="E31" s="10">
        <f>ROUND(IF(C31="GRA",L37,E19*D31),0)</f>
        <v>0</v>
      </c>
      <c r="F31" s="10">
        <f>ROUND(IF(C31="GRA",E31*(1+B7),F19*D31),0)</f>
        <v>0</v>
      </c>
      <c r="G31" s="8"/>
      <c r="H31" s="11">
        <f t="shared" si="5"/>
        <v>0</v>
      </c>
      <c r="K31" s="20" t="str">
        <f t="shared" si="10"/>
        <v/>
      </c>
      <c r="L31" s="10">
        <f t="shared" si="6"/>
        <v>0</v>
      </c>
      <c r="M31" s="10">
        <f t="shared" si="7"/>
        <v>0</v>
      </c>
      <c r="N31" s="8"/>
      <c r="O31" s="11">
        <f t="shared" si="8"/>
        <v>0</v>
      </c>
      <c r="P31" s="96" t="str">
        <f t="shared" si="11"/>
        <v/>
      </c>
    </row>
    <row r="32" spans="1:16" x14ac:dyDescent="0.2">
      <c r="A32" s="154" t="str">
        <f t="shared" si="9"/>
        <v/>
      </c>
      <c r="B32" s="155"/>
      <c r="C32" s="91"/>
      <c r="D32" s="90">
        <f>IF(C32="GRA",0,L36)</f>
        <v>0.28499999999999998</v>
      </c>
      <c r="E32" s="10">
        <f>ROUND(IF(C32="GRA",L37,E20*D32),0)</f>
        <v>0</v>
      </c>
      <c r="F32" s="10">
        <f>ROUND(IF(C32="GRA",E32*(1+B7),F20*D32),0)</f>
        <v>0</v>
      </c>
      <c r="G32" s="8"/>
      <c r="H32" s="11">
        <f t="shared" si="5"/>
        <v>0</v>
      </c>
      <c r="K32" s="20" t="str">
        <f t="shared" si="10"/>
        <v/>
      </c>
      <c r="L32" s="10">
        <f t="shared" si="6"/>
        <v>0</v>
      </c>
      <c r="M32" s="10">
        <f t="shared" si="7"/>
        <v>0</v>
      </c>
      <c r="N32" s="8"/>
      <c r="O32" s="11">
        <f t="shared" si="8"/>
        <v>0</v>
      </c>
      <c r="P32" s="96" t="str">
        <f t="shared" si="11"/>
        <v/>
      </c>
    </row>
    <row r="33" spans="1:19" s="5" customFormat="1" x14ac:dyDescent="0.2">
      <c r="A33" s="147" t="s">
        <v>10</v>
      </c>
      <c r="B33" s="148"/>
      <c r="C33" s="148"/>
      <c r="D33" s="149"/>
      <c r="E33" s="13">
        <f>SUM(E23:E32)</f>
        <v>0</v>
      </c>
      <c r="F33" s="13">
        <f>SUM(F23:F32)</f>
        <v>0</v>
      </c>
      <c r="G33" s="13"/>
      <c r="H33" s="13">
        <f t="shared" si="5"/>
        <v>0</v>
      </c>
      <c r="K33" s="16" t="s">
        <v>10</v>
      </c>
      <c r="L33" s="13">
        <f>ROUND(SUM(L23:L32),0)</f>
        <v>0</v>
      </c>
      <c r="M33" s="13">
        <f>ROUND(SUM(M23:M32),0)</f>
        <v>0</v>
      </c>
      <c r="N33" s="13"/>
      <c r="O33" s="13">
        <f t="shared" si="8"/>
        <v>0</v>
      </c>
    </row>
    <row r="34" spans="1:19" s="4" customFormat="1" x14ac:dyDescent="0.2">
      <c r="A34" s="41" t="s">
        <v>15</v>
      </c>
      <c r="B34" s="7"/>
      <c r="C34" s="7"/>
      <c r="D34" s="7"/>
      <c r="E34" s="7" t="s">
        <v>4</v>
      </c>
      <c r="F34" s="7" t="s">
        <v>5</v>
      </c>
      <c r="G34" s="7"/>
      <c r="H34" s="7" t="s">
        <v>7</v>
      </c>
    </row>
    <row r="35" spans="1:19" ht="12.75" x14ac:dyDescent="0.2">
      <c r="A35" s="151"/>
      <c r="B35" s="152"/>
      <c r="C35" s="152"/>
      <c r="D35" s="153"/>
      <c r="E35" s="92"/>
      <c r="F35" s="92"/>
      <c r="G35" s="10"/>
      <c r="H35" s="11">
        <f t="shared" ref="H35:H40" si="12">SUM(E35:F35)</f>
        <v>0</v>
      </c>
      <c r="K35" s="20" t="s">
        <v>194</v>
      </c>
      <c r="L35" s="72">
        <v>189600</v>
      </c>
      <c r="M35" s="138" t="s">
        <v>195</v>
      </c>
    </row>
    <row r="36" spans="1:19" x14ac:dyDescent="0.2">
      <c r="A36" s="151"/>
      <c r="B36" s="152"/>
      <c r="C36" s="152"/>
      <c r="D36" s="153"/>
      <c r="E36" s="92"/>
      <c r="F36" s="92"/>
      <c r="G36" s="10"/>
      <c r="H36" s="11">
        <f t="shared" si="12"/>
        <v>0</v>
      </c>
      <c r="K36" s="8" t="s">
        <v>191</v>
      </c>
      <c r="L36" s="8">
        <v>0.28499999999999998</v>
      </c>
      <c r="M36" s="3" t="s">
        <v>192</v>
      </c>
    </row>
    <row r="37" spans="1:19" x14ac:dyDescent="0.2">
      <c r="A37" s="151"/>
      <c r="B37" s="152"/>
      <c r="C37" s="152"/>
      <c r="D37" s="153"/>
      <c r="E37" s="92"/>
      <c r="F37" s="92"/>
      <c r="G37" s="10"/>
      <c r="H37" s="11">
        <f t="shared" si="12"/>
        <v>0</v>
      </c>
      <c r="K37" s="19" t="s">
        <v>63</v>
      </c>
      <c r="L37" s="72">
        <v>2880</v>
      </c>
    </row>
    <row r="38" spans="1:19" ht="12.75" x14ac:dyDescent="0.2">
      <c r="A38" s="151"/>
      <c r="B38" s="152"/>
      <c r="C38" s="152"/>
      <c r="D38" s="153"/>
      <c r="E38" s="92"/>
      <c r="F38" s="92"/>
      <c r="G38" s="10"/>
      <c r="H38" s="11">
        <f t="shared" si="12"/>
        <v>0</v>
      </c>
      <c r="K38" s="8" t="s">
        <v>165</v>
      </c>
      <c r="L38" s="72">
        <v>4230</v>
      </c>
      <c r="M38" s="187" t="s">
        <v>196</v>
      </c>
    </row>
    <row r="39" spans="1:19" x14ac:dyDescent="0.2">
      <c r="A39" s="151"/>
      <c r="B39" s="152"/>
      <c r="C39" s="152"/>
      <c r="D39" s="153"/>
      <c r="E39" s="92"/>
      <c r="F39" s="92"/>
      <c r="G39" s="10"/>
      <c r="H39" s="11">
        <f t="shared" si="12"/>
        <v>0</v>
      </c>
      <c r="K39" s="8" t="s">
        <v>190</v>
      </c>
      <c r="L39" s="72">
        <v>25500</v>
      </c>
    </row>
    <row r="40" spans="1:19" x14ac:dyDescent="0.2">
      <c r="A40" s="151"/>
      <c r="B40" s="152"/>
      <c r="C40" s="152"/>
      <c r="D40" s="153"/>
      <c r="E40" s="92"/>
      <c r="F40" s="92"/>
      <c r="G40" s="10"/>
      <c r="H40" s="11">
        <f t="shared" si="12"/>
        <v>0</v>
      </c>
      <c r="K40" s="5"/>
      <c r="L40" s="5"/>
      <c r="M40" s="5"/>
      <c r="N40" s="5"/>
      <c r="O40" s="5"/>
      <c r="P40" s="5"/>
      <c r="Q40" s="5"/>
      <c r="R40" s="5"/>
      <c r="S40" s="5"/>
    </row>
    <row r="41" spans="1:19" s="5" customFormat="1" x14ac:dyDescent="0.2">
      <c r="A41" s="147" t="s">
        <v>10</v>
      </c>
      <c r="B41" s="148"/>
      <c r="C41" s="148"/>
      <c r="D41" s="149"/>
      <c r="E41" s="13">
        <f>ROUND(SUM(E35:E40),0)</f>
        <v>0</v>
      </c>
      <c r="F41" s="13">
        <f>ROUND(SUM(F35:F40),0)</f>
        <v>0</v>
      </c>
      <c r="G41" s="13"/>
      <c r="H41" s="13">
        <f>ROUND(SUM(E41:F41),0)</f>
        <v>0</v>
      </c>
      <c r="K41" s="137" t="s">
        <v>193</v>
      </c>
      <c r="L41" s="4"/>
      <c r="M41" s="4"/>
      <c r="N41" s="4"/>
      <c r="O41" s="3" t="s">
        <v>192</v>
      </c>
      <c r="P41" s="4"/>
      <c r="Q41" s="4"/>
      <c r="R41" s="4"/>
      <c r="S41" s="4"/>
    </row>
    <row r="42" spans="1:19" s="4" customFormat="1" x14ac:dyDescent="0.2">
      <c r="A42" s="41" t="s">
        <v>16</v>
      </c>
      <c r="B42" s="7"/>
      <c r="C42" s="7"/>
      <c r="D42" s="7"/>
      <c r="E42" s="7" t="s">
        <v>4</v>
      </c>
      <c r="F42" s="7" t="s">
        <v>5</v>
      </c>
      <c r="G42" s="7"/>
      <c r="H42" s="7" t="s">
        <v>7</v>
      </c>
    </row>
    <row r="43" spans="1:19" x14ac:dyDescent="0.2">
      <c r="A43" s="154"/>
      <c r="B43" s="156"/>
      <c r="C43" s="156"/>
      <c r="D43" s="155"/>
      <c r="E43" s="10">
        <f>ROUND(E101-E82-E83-E84-E86-E87-E88-SUBCONTRACTS!B50-E90-E91-E92,0)</f>
        <v>150000</v>
      </c>
      <c r="F43" s="10">
        <f>ROUND(F101-F82-F83-F84-F86-F87-F88-SUBCONTRACTS!C50-F90-F91-F92,0)</f>
        <v>125000</v>
      </c>
      <c r="G43" s="10"/>
      <c r="H43" s="11">
        <f>ROUND(SUM(E43:F43),0)</f>
        <v>275000</v>
      </c>
    </row>
    <row r="44" spans="1:19" s="5" customFormat="1" x14ac:dyDescent="0.2">
      <c r="A44" s="147" t="s">
        <v>10</v>
      </c>
      <c r="B44" s="148"/>
      <c r="C44" s="148"/>
      <c r="D44" s="149"/>
      <c r="E44" s="13">
        <f>ROUND(SUM(E43:E43),0)</f>
        <v>150000</v>
      </c>
      <c r="F44" s="13">
        <f>ROUND(SUM(F43:F43),0)</f>
        <v>125000</v>
      </c>
      <c r="G44" s="13"/>
      <c r="H44" s="13">
        <f>ROUND(SUM(E44:F44),0)</f>
        <v>275000</v>
      </c>
    </row>
    <row r="45" spans="1:19" s="4" customFormat="1" x14ac:dyDescent="0.2">
      <c r="A45" s="41" t="s">
        <v>18</v>
      </c>
      <c r="B45" s="7"/>
      <c r="C45" s="7"/>
      <c r="D45" s="7"/>
      <c r="E45" s="7" t="s">
        <v>4</v>
      </c>
      <c r="F45" s="7" t="s">
        <v>5</v>
      </c>
      <c r="G45" s="7"/>
      <c r="H45" s="7" t="s">
        <v>7</v>
      </c>
    </row>
    <row r="46" spans="1:19" x14ac:dyDescent="0.2">
      <c r="A46" s="151"/>
      <c r="B46" s="152"/>
      <c r="C46" s="152"/>
      <c r="D46" s="153"/>
      <c r="E46" s="92"/>
      <c r="F46" s="92"/>
      <c r="G46" s="10"/>
      <c r="H46" s="11">
        <f>ROUND(SUM(E46:F46),0)</f>
        <v>0</v>
      </c>
    </row>
    <row r="47" spans="1:19" x14ac:dyDescent="0.2">
      <c r="A47" s="151"/>
      <c r="B47" s="152"/>
      <c r="C47" s="152"/>
      <c r="D47" s="153"/>
      <c r="E47" s="92"/>
      <c r="F47" s="92"/>
      <c r="G47" s="10"/>
      <c r="H47" s="11">
        <f>ROUND(SUM(E47:F47),0)</f>
        <v>0</v>
      </c>
      <c r="K47" s="81"/>
    </row>
    <row r="48" spans="1:19" x14ac:dyDescent="0.2">
      <c r="A48" s="151"/>
      <c r="B48" s="152"/>
      <c r="C48" s="152"/>
      <c r="D48" s="153"/>
      <c r="E48" s="92"/>
      <c r="F48" s="92"/>
      <c r="G48" s="10"/>
      <c r="H48" s="11">
        <f>ROUND(SUM(E48:F48),0)</f>
        <v>0</v>
      </c>
    </row>
    <row r="49" spans="1:8" x14ac:dyDescent="0.2">
      <c r="A49" s="151"/>
      <c r="B49" s="152"/>
      <c r="C49" s="152"/>
      <c r="D49" s="153"/>
      <c r="E49" s="92"/>
      <c r="F49" s="92"/>
      <c r="G49" s="10"/>
      <c r="H49" s="11">
        <f>ROUND(SUM(E49:F49),0)</f>
        <v>0</v>
      </c>
    </row>
    <row r="50" spans="1:8" s="5" customFormat="1" x14ac:dyDescent="0.2">
      <c r="A50" s="147" t="s">
        <v>10</v>
      </c>
      <c r="B50" s="148"/>
      <c r="C50" s="148"/>
      <c r="D50" s="149"/>
      <c r="E50" s="13">
        <f>ROUND(SUM(E46:E49),0)</f>
        <v>0</v>
      </c>
      <c r="F50" s="13">
        <f>ROUND(SUM(F46:F49),0)</f>
        <v>0</v>
      </c>
      <c r="G50" s="13"/>
      <c r="H50" s="13">
        <f>ROUND(SUM(E50:F50),0)</f>
        <v>0</v>
      </c>
    </row>
    <row r="51" spans="1:8" s="4" customFormat="1" x14ac:dyDescent="0.2">
      <c r="A51" s="41" t="s">
        <v>54</v>
      </c>
      <c r="B51" s="7"/>
      <c r="C51" s="7"/>
      <c r="D51" s="7"/>
      <c r="E51" s="7" t="s">
        <v>4</v>
      </c>
      <c r="F51" s="7" t="s">
        <v>5</v>
      </c>
      <c r="G51" s="7"/>
      <c r="H51" s="7" t="s">
        <v>7</v>
      </c>
    </row>
    <row r="52" spans="1:8" x14ac:dyDescent="0.2">
      <c r="A52" s="151"/>
      <c r="B52" s="152"/>
      <c r="C52" s="152"/>
      <c r="D52" s="153"/>
      <c r="E52" s="92"/>
      <c r="F52" s="92"/>
      <c r="G52" s="10"/>
      <c r="H52" s="11">
        <f>ROUND(SUM(E52:F52),0)</f>
        <v>0</v>
      </c>
    </row>
    <row r="53" spans="1:8" x14ac:dyDescent="0.2">
      <c r="A53" s="151"/>
      <c r="B53" s="152"/>
      <c r="C53" s="152"/>
      <c r="D53" s="153"/>
      <c r="E53" s="92"/>
      <c r="F53" s="92"/>
      <c r="G53" s="10"/>
      <c r="H53" s="11">
        <f>ROUND(SUM(E53:F53),0)</f>
        <v>0</v>
      </c>
    </row>
    <row r="54" spans="1:8" s="5" customFormat="1" x14ac:dyDescent="0.2">
      <c r="A54" s="147" t="s">
        <v>10</v>
      </c>
      <c r="B54" s="148"/>
      <c r="C54" s="148"/>
      <c r="D54" s="149"/>
      <c r="E54" s="13">
        <f>ROUND(SUM(E52:E53),0)</f>
        <v>0</v>
      </c>
      <c r="F54" s="13">
        <f>ROUND(SUM(F52:F53),0)</f>
        <v>0</v>
      </c>
      <c r="G54" s="13"/>
      <c r="H54" s="13">
        <f>ROUND(SUM(E54:F54),0)</f>
        <v>0</v>
      </c>
    </row>
    <row r="55" spans="1:8" s="5" customFormat="1" x14ac:dyDescent="0.2">
      <c r="A55" s="41" t="s">
        <v>55</v>
      </c>
      <c r="B55" s="7"/>
      <c r="C55" s="7"/>
      <c r="D55" s="7"/>
      <c r="E55" s="7" t="s">
        <v>4</v>
      </c>
      <c r="F55" s="7" t="s">
        <v>5</v>
      </c>
      <c r="G55" s="7"/>
      <c r="H55" s="7" t="s">
        <v>7</v>
      </c>
    </row>
    <row r="56" spans="1:8" s="5" customFormat="1" x14ac:dyDescent="0.2">
      <c r="A56" s="151"/>
      <c r="B56" s="152"/>
      <c r="C56" s="152"/>
      <c r="D56" s="153"/>
      <c r="E56" s="92"/>
      <c r="F56" s="92"/>
      <c r="G56" s="10"/>
      <c r="H56" s="11">
        <f>ROUND(SUM(E56:F56),0)</f>
        <v>0</v>
      </c>
    </row>
    <row r="57" spans="1:8" s="5" customFormat="1" x14ac:dyDescent="0.2">
      <c r="A57" s="151"/>
      <c r="B57" s="152"/>
      <c r="C57" s="152"/>
      <c r="D57" s="153"/>
      <c r="E57" s="92"/>
      <c r="F57" s="92"/>
      <c r="G57" s="10"/>
      <c r="H57" s="11">
        <f>ROUND(SUM(E57:F57),0)</f>
        <v>0</v>
      </c>
    </row>
    <row r="58" spans="1:8" s="5" customFormat="1" x14ac:dyDescent="0.2">
      <c r="A58" s="147" t="s">
        <v>10</v>
      </c>
      <c r="B58" s="148"/>
      <c r="C58" s="148"/>
      <c r="D58" s="149"/>
      <c r="E58" s="13">
        <f>ROUND(SUM(E56:E57),0)</f>
        <v>0</v>
      </c>
      <c r="F58" s="13">
        <f>ROUND(SUM(F56:F57),0)</f>
        <v>0</v>
      </c>
      <c r="G58" s="13"/>
      <c r="H58" s="13">
        <f>ROUND(SUM(E58:F58),0)</f>
        <v>0</v>
      </c>
    </row>
    <row r="59" spans="1:8" s="4" customFormat="1" x14ac:dyDescent="0.2">
      <c r="A59" s="41" t="s">
        <v>17</v>
      </c>
      <c r="B59" s="7"/>
      <c r="C59" s="7"/>
      <c r="D59" s="7"/>
      <c r="E59" s="7" t="s">
        <v>4</v>
      </c>
      <c r="F59" s="7" t="s">
        <v>5</v>
      </c>
      <c r="G59" s="7"/>
      <c r="H59" s="7" t="s">
        <v>7</v>
      </c>
    </row>
    <row r="60" spans="1:8" x14ac:dyDescent="0.2">
      <c r="A60" s="154" t="str">
        <f>IF(ISBLANK(SUBCONTRACTS!B4),"",SUBCONTRACTS!B4)</f>
        <v/>
      </c>
      <c r="B60" s="156"/>
      <c r="C60" s="156"/>
      <c r="D60" s="155"/>
      <c r="E60" s="10">
        <f>SUBCONTRACTS!B9</f>
        <v>0</v>
      </c>
      <c r="F60" s="10">
        <f>SUBCONTRACTS!C9</f>
        <v>0</v>
      </c>
      <c r="G60" s="8"/>
      <c r="H60" s="11">
        <f t="shared" ref="H60:H65" si="13">ROUND(SUM(E60:F60),0)</f>
        <v>0</v>
      </c>
    </row>
    <row r="61" spans="1:8" x14ac:dyDescent="0.2">
      <c r="A61" s="154" t="str">
        <f>IF(ISBLANK(SUBCONTRACTS!B13),"",SUBCONTRACTS!B13)</f>
        <v/>
      </c>
      <c r="B61" s="156"/>
      <c r="C61" s="156"/>
      <c r="D61" s="155"/>
      <c r="E61" s="10">
        <f>SUBCONTRACTS!B18</f>
        <v>0</v>
      </c>
      <c r="F61" s="10">
        <f>SUBCONTRACTS!C18</f>
        <v>0</v>
      </c>
      <c r="G61" s="8"/>
      <c r="H61" s="11">
        <f t="shared" si="13"/>
        <v>0</v>
      </c>
    </row>
    <row r="62" spans="1:8" x14ac:dyDescent="0.2">
      <c r="A62" s="154" t="str">
        <f>IF(ISBLANK(SUBCONTRACTS!B22),"",SUBCONTRACTS!B22)</f>
        <v/>
      </c>
      <c r="B62" s="156"/>
      <c r="C62" s="156"/>
      <c r="D62" s="155"/>
      <c r="E62" s="10">
        <f>SUBCONTRACTS!B27</f>
        <v>0</v>
      </c>
      <c r="F62" s="10">
        <f>SUBCONTRACTS!C27</f>
        <v>0</v>
      </c>
      <c r="G62" s="8"/>
      <c r="H62" s="11">
        <f t="shared" si="13"/>
        <v>0</v>
      </c>
    </row>
    <row r="63" spans="1:8" x14ac:dyDescent="0.2">
      <c r="A63" s="154" t="str">
        <f>IF(ISBLANK(SUBCONTRACTS!B31),"",SUBCONTRACTS!B31)</f>
        <v/>
      </c>
      <c r="B63" s="156"/>
      <c r="C63" s="156"/>
      <c r="D63" s="155"/>
      <c r="E63" s="10">
        <f>SUBCONTRACTS!B36</f>
        <v>0</v>
      </c>
      <c r="F63" s="10">
        <f>SUBCONTRACTS!C36</f>
        <v>0</v>
      </c>
      <c r="G63" s="8"/>
      <c r="H63" s="11">
        <f t="shared" si="13"/>
        <v>0</v>
      </c>
    </row>
    <row r="64" spans="1:8" x14ac:dyDescent="0.2">
      <c r="A64" s="154" t="str">
        <f>IF(ISBLANK(SUBCONTRACTS!B40),"",SUBCONTRACTS!B40)</f>
        <v/>
      </c>
      <c r="B64" s="156"/>
      <c r="C64" s="156"/>
      <c r="D64" s="155"/>
      <c r="E64" s="10">
        <f>SUBCONTRACTS!B45</f>
        <v>0</v>
      </c>
      <c r="F64" s="10">
        <f>SUBCONTRACTS!C45</f>
        <v>0</v>
      </c>
      <c r="G64" s="8"/>
      <c r="H64" s="11">
        <f t="shared" si="13"/>
        <v>0</v>
      </c>
    </row>
    <row r="65" spans="1:8" s="5" customFormat="1" x14ac:dyDescent="0.2">
      <c r="A65" s="147" t="s">
        <v>10</v>
      </c>
      <c r="B65" s="148"/>
      <c r="C65" s="148"/>
      <c r="D65" s="149"/>
      <c r="E65" s="13">
        <f>ROUND(SUM(E60:E64),0)</f>
        <v>0</v>
      </c>
      <c r="F65" s="13">
        <f>ROUND(SUM(F60:F64),0)</f>
        <v>0</v>
      </c>
      <c r="G65" s="13"/>
      <c r="H65" s="13">
        <f t="shared" si="13"/>
        <v>0</v>
      </c>
    </row>
    <row r="66" spans="1:8" s="4" customFormat="1" x14ac:dyDescent="0.2">
      <c r="A66" s="41" t="s">
        <v>19</v>
      </c>
      <c r="B66" s="7"/>
      <c r="C66" s="7"/>
      <c r="D66" s="7"/>
      <c r="E66" s="7" t="s">
        <v>4</v>
      </c>
      <c r="F66" s="7" t="s">
        <v>5</v>
      </c>
      <c r="G66" s="7"/>
      <c r="H66" s="7" t="s">
        <v>7</v>
      </c>
    </row>
    <row r="67" spans="1:8" x14ac:dyDescent="0.2">
      <c r="A67" s="151"/>
      <c r="B67" s="152"/>
      <c r="C67" s="152"/>
      <c r="D67" s="153"/>
      <c r="E67" s="92">
        <v>0</v>
      </c>
      <c r="F67" s="92">
        <v>0</v>
      </c>
      <c r="G67" s="8"/>
      <c r="H67" s="11">
        <f>ROUND(SUM(E67:F67),0)</f>
        <v>0</v>
      </c>
    </row>
    <row r="68" spans="1:8" x14ac:dyDescent="0.2">
      <c r="A68" s="151"/>
      <c r="B68" s="152"/>
      <c r="C68" s="152"/>
      <c r="D68" s="153"/>
      <c r="E68" s="92"/>
      <c r="F68" s="92"/>
      <c r="G68" s="8"/>
      <c r="H68" s="11">
        <f>ROUND(SUM(E68:F68),0)</f>
        <v>0</v>
      </c>
    </row>
    <row r="69" spans="1:8" x14ac:dyDescent="0.2">
      <c r="A69" s="151"/>
      <c r="B69" s="152"/>
      <c r="C69" s="152"/>
      <c r="D69" s="153"/>
      <c r="E69" s="92"/>
      <c r="F69" s="92"/>
      <c r="G69" s="8"/>
      <c r="H69" s="11">
        <f>ROUND(SUM(E69:F69),0)</f>
        <v>0</v>
      </c>
    </row>
    <row r="70" spans="1:8" x14ac:dyDescent="0.2">
      <c r="A70" s="151"/>
      <c r="B70" s="152"/>
      <c r="C70" s="152"/>
      <c r="D70" s="153"/>
      <c r="E70" s="92"/>
      <c r="F70" s="92"/>
      <c r="G70" s="8"/>
      <c r="H70" s="11">
        <f>ROUND(SUM(E70:F70),0)</f>
        <v>0</v>
      </c>
    </row>
    <row r="71" spans="1:8" s="5" customFormat="1" x14ac:dyDescent="0.2">
      <c r="A71" s="147" t="s">
        <v>10</v>
      </c>
      <c r="B71" s="148"/>
      <c r="C71" s="148"/>
      <c r="D71" s="149"/>
      <c r="E71" s="13">
        <f>ROUND(SUM(E67:E70),0)</f>
        <v>0</v>
      </c>
      <c r="F71" s="13">
        <f>ROUND(SUM(F67:F70),0)</f>
        <v>0</v>
      </c>
      <c r="G71" s="13"/>
      <c r="H71" s="13">
        <f>ROUND(SUM(E71:F71),0)</f>
        <v>0</v>
      </c>
    </row>
    <row r="72" spans="1:8" s="4" customFormat="1" x14ac:dyDescent="0.2">
      <c r="A72" s="41" t="s">
        <v>20</v>
      </c>
      <c r="B72" s="7"/>
      <c r="C72" s="7"/>
      <c r="D72" s="7"/>
      <c r="E72" s="7" t="s">
        <v>4</v>
      </c>
      <c r="F72" s="7" t="s">
        <v>5</v>
      </c>
      <c r="G72" s="7"/>
      <c r="H72" s="7" t="s">
        <v>7</v>
      </c>
    </row>
    <row r="73" spans="1:8" ht="12.75" x14ac:dyDescent="0.2">
      <c r="A73" s="157">
        <f>COUNTIF(C23:C32,"GRA")</f>
        <v>0</v>
      </c>
      <c r="B73" s="157"/>
      <c r="C73" s="157"/>
      <c r="D73" s="158"/>
      <c r="E73" s="10">
        <f>ROUND(IF(A73&gt;0,A73*L38,0),0)</f>
        <v>0</v>
      </c>
      <c r="F73" s="10">
        <f>ROUND(IF(E73="","",E73*(1+B7)),0)</f>
        <v>0</v>
      </c>
      <c r="G73" s="8"/>
      <c r="H73" s="11">
        <f>ROUND(SUM(E73:F73),0)</f>
        <v>0</v>
      </c>
    </row>
    <row r="74" spans="1:8" s="5" customFormat="1" x14ac:dyDescent="0.2">
      <c r="A74" s="147" t="s">
        <v>10</v>
      </c>
      <c r="B74" s="148"/>
      <c r="C74" s="148"/>
      <c r="D74" s="149"/>
      <c r="E74" s="13">
        <f>ROUND(SUM(E73),0)</f>
        <v>0</v>
      </c>
      <c r="F74" s="13">
        <f>ROUND(SUM(F73),0)</f>
        <v>0</v>
      </c>
      <c r="G74" s="13"/>
      <c r="H74" s="13">
        <f>ROUND(SUM(E74:F74),0)</f>
        <v>0</v>
      </c>
    </row>
    <row r="75" spans="1:8" s="4" customFormat="1" x14ac:dyDescent="0.2">
      <c r="A75" s="41" t="s">
        <v>21</v>
      </c>
      <c r="B75" s="7"/>
      <c r="C75" s="7"/>
      <c r="D75" s="7"/>
      <c r="E75" s="7" t="s">
        <v>4</v>
      </c>
      <c r="F75" s="7" t="s">
        <v>5</v>
      </c>
      <c r="G75" s="7"/>
      <c r="H75" s="7" t="s">
        <v>7</v>
      </c>
    </row>
    <row r="76" spans="1:8" x14ac:dyDescent="0.2">
      <c r="A76" s="151"/>
      <c r="B76" s="152"/>
      <c r="C76" s="152"/>
      <c r="D76" s="153"/>
      <c r="E76" s="92">
        <v>0</v>
      </c>
      <c r="F76" s="92">
        <v>0</v>
      </c>
      <c r="G76" s="8"/>
      <c r="H76" s="11">
        <f>ROUND(SUM(E76:F76),0)</f>
        <v>0</v>
      </c>
    </row>
    <row r="77" spans="1:8" x14ac:dyDescent="0.2">
      <c r="A77" s="151"/>
      <c r="B77" s="152"/>
      <c r="C77" s="152"/>
      <c r="D77" s="153"/>
      <c r="E77" s="92">
        <v>0</v>
      </c>
      <c r="F77" s="92">
        <v>0</v>
      </c>
      <c r="G77" s="8"/>
      <c r="H77" s="11">
        <f>ROUND(SUM(E77:F77),0)</f>
        <v>0</v>
      </c>
    </row>
    <row r="78" spans="1:8" x14ac:dyDescent="0.2">
      <c r="A78" s="151"/>
      <c r="B78" s="152"/>
      <c r="C78" s="152"/>
      <c r="D78" s="153"/>
      <c r="E78" s="92"/>
      <c r="F78" s="92"/>
      <c r="G78" s="8"/>
      <c r="H78" s="11">
        <f>ROUND(SUM(E78:F78),0)</f>
        <v>0</v>
      </c>
    </row>
    <row r="79" spans="1:8" x14ac:dyDescent="0.2">
      <c r="A79" s="151"/>
      <c r="B79" s="152"/>
      <c r="C79" s="152"/>
      <c r="D79" s="153"/>
      <c r="E79" s="92"/>
      <c r="F79" s="92"/>
      <c r="G79" s="8"/>
      <c r="H79" s="11">
        <f>ROUND(SUM(E79:F79),0)</f>
        <v>0</v>
      </c>
    </row>
    <row r="80" spans="1:8" s="5" customFormat="1" x14ac:dyDescent="0.2">
      <c r="A80" s="147" t="s">
        <v>10</v>
      </c>
      <c r="B80" s="148"/>
      <c r="C80" s="148"/>
      <c r="D80" s="149"/>
      <c r="E80" s="13">
        <f>ROUND(SUM(E76:E79),0)</f>
        <v>0</v>
      </c>
      <c r="F80" s="13">
        <f>ROUND(SUM(F76:F79),0)</f>
        <v>0</v>
      </c>
      <c r="G80" s="13"/>
      <c r="H80" s="13">
        <f>ROUND(SUM(E80:F80),0)</f>
        <v>0</v>
      </c>
    </row>
    <row r="81" spans="1:16" s="4" customFormat="1" x14ac:dyDescent="0.2">
      <c r="A81" s="41" t="s">
        <v>22</v>
      </c>
      <c r="B81" s="7"/>
      <c r="C81" s="7"/>
      <c r="D81" s="7"/>
      <c r="E81" s="7" t="s">
        <v>4</v>
      </c>
      <c r="F81" s="7" t="s">
        <v>5</v>
      </c>
      <c r="G81" s="7"/>
      <c r="H81" s="7" t="s">
        <v>7</v>
      </c>
    </row>
    <row r="82" spans="1:16" x14ac:dyDescent="0.2">
      <c r="A82" s="139" t="s">
        <v>3</v>
      </c>
      <c r="B82" s="140"/>
      <c r="C82" s="140"/>
      <c r="D82" s="141"/>
      <c r="E82" s="10">
        <f>E21</f>
        <v>0</v>
      </c>
      <c r="F82" s="10">
        <f>F21</f>
        <v>0</v>
      </c>
      <c r="G82" s="8"/>
      <c r="H82" s="11">
        <f t="shared" ref="H82:H93" si="14">ROUND(SUM(E82:F82),0)</f>
        <v>0</v>
      </c>
      <c r="K82" s="42"/>
    </row>
    <row r="83" spans="1:16" x14ac:dyDescent="0.2">
      <c r="A83" s="139" t="s">
        <v>13</v>
      </c>
      <c r="B83" s="140"/>
      <c r="C83" s="140"/>
      <c r="D83" s="141"/>
      <c r="E83" s="10">
        <f>E33</f>
        <v>0</v>
      </c>
      <c r="F83" s="10">
        <f>F33</f>
        <v>0</v>
      </c>
      <c r="G83" s="8"/>
      <c r="H83" s="11">
        <f t="shared" si="14"/>
        <v>0</v>
      </c>
      <c r="K83" s="111"/>
    </row>
    <row r="84" spans="1:16" x14ac:dyDescent="0.2">
      <c r="A84" s="139" t="s">
        <v>15</v>
      </c>
      <c r="B84" s="140"/>
      <c r="C84" s="140"/>
      <c r="D84" s="141"/>
      <c r="E84" s="10">
        <f>E41</f>
        <v>0</v>
      </c>
      <c r="F84" s="10">
        <f>F41</f>
        <v>0</v>
      </c>
      <c r="G84" s="8"/>
      <c r="H84" s="11">
        <f t="shared" si="14"/>
        <v>0</v>
      </c>
    </row>
    <row r="85" spans="1:16" x14ac:dyDescent="0.2">
      <c r="A85" s="139" t="s">
        <v>16</v>
      </c>
      <c r="B85" s="140"/>
      <c r="C85" s="140"/>
      <c r="D85" s="141"/>
      <c r="E85" s="10">
        <f>E44</f>
        <v>150000</v>
      </c>
      <c r="F85" s="10">
        <f>F44</f>
        <v>125000</v>
      </c>
      <c r="G85" s="8"/>
      <c r="H85" s="11">
        <f t="shared" si="14"/>
        <v>275000</v>
      </c>
    </row>
    <row r="86" spans="1:16" x14ac:dyDescent="0.2">
      <c r="A86" s="139" t="s">
        <v>18</v>
      </c>
      <c r="B86" s="140"/>
      <c r="C86" s="140"/>
      <c r="D86" s="141"/>
      <c r="E86" s="10">
        <f>E50</f>
        <v>0</v>
      </c>
      <c r="F86" s="10">
        <f>F50</f>
        <v>0</v>
      </c>
      <c r="G86" s="8"/>
      <c r="H86" s="11">
        <f t="shared" si="14"/>
        <v>0</v>
      </c>
    </row>
    <row r="87" spans="1:16" x14ac:dyDescent="0.2">
      <c r="A87" s="139" t="s">
        <v>54</v>
      </c>
      <c r="B87" s="140"/>
      <c r="C87" s="140"/>
      <c r="D87" s="141"/>
      <c r="E87" s="10">
        <f>E54</f>
        <v>0</v>
      </c>
      <c r="F87" s="10">
        <f>F54</f>
        <v>0</v>
      </c>
      <c r="G87" s="8"/>
      <c r="H87" s="11">
        <f t="shared" si="14"/>
        <v>0</v>
      </c>
    </row>
    <row r="88" spans="1:16" x14ac:dyDescent="0.2">
      <c r="A88" s="139" t="s">
        <v>55</v>
      </c>
      <c r="B88" s="140"/>
      <c r="C88" s="140"/>
      <c r="D88" s="141"/>
      <c r="E88" s="10">
        <f>E58</f>
        <v>0</v>
      </c>
      <c r="F88" s="10">
        <f>F58</f>
        <v>0</v>
      </c>
      <c r="G88" s="8"/>
      <c r="H88" s="11">
        <f t="shared" si="14"/>
        <v>0</v>
      </c>
    </row>
    <row r="89" spans="1:16" x14ac:dyDescent="0.2">
      <c r="A89" s="139" t="s">
        <v>17</v>
      </c>
      <c r="B89" s="140"/>
      <c r="C89" s="140"/>
      <c r="D89" s="141"/>
      <c r="E89" s="10">
        <f>E65</f>
        <v>0</v>
      </c>
      <c r="F89" s="10">
        <f>F65</f>
        <v>0</v>
      </c>
      <c r="G89" s="8"/>
      <c r="H89" s="11">
        <f t="shared" si="14"/>
        <v>0</v>
      </c>
    </row>
    <row r="90" spans="1:16" x14ac:dyDescent="0.2">
      <c r="A90" s="139" t="s">
        <v>19</v>
      </c>
      <c r="B90" s="140"/>
      <c r="C90" s="140"/>
      <c r="D90" s="141"/>
      <c r="E90" s="10">
        <f>E71</f>
        <v>0</v>
      </c>
      <c r="F90" s="10">
        <f>F71</f>
        <v>0</v>
      </c>
      <c r="G90" s="8"/>
      <c r="H90" s="11">
        <f t="shared" si="14"/>
        <v>0</v>
      </c>
    </row>
    <row r="91" spans="1:16" x14ac:dyDescent="0.2">
      <c r="A91" s="139" t="s">
        <v>20</v>
      </c>
      <c r="B91" s="140"/>
      <c r="C91" s="140"/>
      <c r="D91" s="141"/>
      <c r="E91" s="10">
        <f>E74</f>
        <v>0</v>
      </c>
      <c r="F91" s="10">
        <f>F74</f>
        <v>0</v>
      </c>
      <c r="G91" s="8"/>
      <c r="H91" s="11">
        <f t="shared" si="14"/>
        <v>0</v>
      </c>
    </row>
    <row r="92" spans="1:16" x14ac:dyDescent="0.2">
      <c r="A92" s="139" t="s">
        <v>21</v>
      </c>
      <c r="B92" s="140"/>
      <c r="C92" s="140"/>
      <c r="D92" s="141"/>
      <c r="E92" s="10">
        <f>E80</f>
        <v>0</v>
      </c>
      <c r="F92" s="10">
        <f>F80</f>
        <v>0</v>
      </c>
      <c r="G92" s="8"/>
      <c r="H92" s="11">
        <f t="shared" si="14"/>
        <v>0</v>
      </c>
    </row>
    <row r="93" spans="1:16" s="5" customFormat="1" x14ac:dyDescent="0.2">
      <c r="A93" s="147" t="s">
        <v>72</v>
      </c>
      <c r="B93" s="148"/>
      <c r="C93" s="148"/>
      <c r="D93" s="149"/>
      <c r="E93" s="13">
        <f>ROUND(SUM(E82:E92),0)</f>
        <v>150000</v>
      </c>
      <c r="F93" s="13">
        <f>ROUND(SUM(F82:F92),0)</f>
        <v>125000</v>
      </c>
      <c r="G93" s="13"/>
      <c r="H93" s="13">
        <f t="shared" si="14"/>
        <v>275000</v>
      </c>
      <c r="O93" s="159" t="s">
        <v>185</v>
      </c>
      <c r="P93" s="159"/>
    </row>
    <row r="94" spans="1:16" x14ac:dyDescent="0.2">
      <c r="O94" s="127">
        <v>42461</v>
      </c>
      <c r="P94" s="128">
        <f>(0.25*0.53)+(0.75*0.54)</f>
        <v>0.53750000000000009</v>
      </c>
    </row>
    <row r="95" spans="1:16" s="5" customFormat="1" x14ac:dyDescent="0.2">
      <c r="A95" s="147" t="s">
        <v>26</v>
      </c>
      <c r="B95" s="148"/>
      <c r="C95" s="148"/>
      <c r="D95" s="149"/>
      <c r="E95" s="13">
        <f>ROUND(SUM(E82+E83+E85+E90+E92+SUBCONTRACTS!B48),0)</f>
        <v>150000</v>
      </c>
      <c r="F95" s="13">
        <f>ROUND(SUM(F82+F83+F85+F90+F92+SUBCONTRACTS!C48),0)</f>
        <v>125000</v>
      </c>
      <c r="G95" s="13"/>
      <c r="H95" s="13">
        <f>ROUND(SUM(E95:F95),0)</f>
        <v>275000</v>
      </c>
      <c r="O95" s="127">
        <v>42491</v>
      </c>
      <c r="P95" s="128">
        <f>((2/12)*0.53)+((10/12)*0.54)</f>
        <v>0.53833333333333344</v>
      </c>
    </row>
    <row r="96" spans="1:16" ht="12.75" customHeight="1" x14ac:dyDescent="0.2">
      <c r="A96" s="143" t="s">
        <v>35</v>
      </c>
      <c r="B96" s="143"/>
      <c r="C96" s="143"/>
      <c r="D96" s="143"/>
      <c r="E96" s="62">
        <f>IF(E8=O94,P94,IF(E8=O95,P95,IF(E8=O96,P96,IF(E8=O97,P97,0.54))))</f>
        <v>0.54</v>
      </c>
      <c r="F96" s="62">
        <v>0.54</v>
      </c>
      <c r="O96" s="127">
        <v>42522</v>
      </c>
      <c r="P96" s="128">
        <f>((1/12)*0.53)+((11/12)*0.54)</f>
        <v>0.53916666666666668</v>
      </c>
    </row>
    <row r="97" spans="1:16" s="5" customFormat="1" x14ac:dyDescent="0.2">
      <c r="A97" s="147" t="s">
        <v>73</v>
      </c>
      <c r="B97" s="148"/>
      <c r="C97" s="148"/>
      <c r="D97" s="149"/>
      <c r="E97" s="13">
        <f>ROUND(E95*E96,0)</f>
        <v>81000</v>
      </c>
      <c r="F97" s="13">
        <f>ROUND(F95*F96,0)</f>
        <v>67500</v>
      </c>
      <c r="G97" s="13"/>
      <c r="H97" s="13">
        <f>ROUND(SUM(E97:F97),0)</f>
        <v>148500</v>
      </c>
      <c r="O97" s="127">
        <v>42552</v>
      </c>
      <c r="P97" s="128">
        <v>0.54</v>
      </c>
    </row>
    <row r="99" spans="1:16" x14ac:dyDescent="0.2">
      <c r="A99" s="144" t="s">
        <v>36</v>
      </c>
      <c r="B99" s="145"/>
      <c r="C99" s="145"/>
      <c r="D99" s="146"/>
      <c r="E99" s="21">
        <f>ROUND(SUM(E93,E97),0)</f>
        <v>231000</v>
      </c>
      <c r="F99" s="21">
        <f>ROUND(SUM(F93,F97),0)</f>
        <v>192500</v>
      </c>
      <c r="G99" s="21"/>
      <c r="H99" s="21">
        <f>ROUND(SUM(E99,F99),0)</f>
        <v>423500</v>
      </c>
    </row>
    <row r="101" spans="1:16" ht="12.75" customHeight="1" x14ac:dyDescent="0.2">
      <c r="A101" s="150" t="s">
        <v>56</v>
      </c>
      <c r="B101" s="150"/>
      <c r="C101" s="150"/>
      <c r="D101" s="150"/>
      <c r="E101" s="97">
        <v>150000</v>
      </c>
      <c r="F101" s="97">
        <v>125000</v>
      </c>
      <c r="G101" s="8"/>
      <c r="H101" s="60">
        <f>SUM(E101:F101)</f>
        <v>275000</v>
      </c>
    </row>
    <row r="103" spans="1:16" x14ac:dyDescent="0.2">
      <c r="A103" s="71" t="s">
        <v>95</v>
      </c>
      <c r="B103" s="71"/>
      <c r="C103" s="71"/>
      <c r="D103" s="71"/>
      <c r="E103" s="71"/>
      <c r="F103" s="71"/>
      <c r="G103" s="71"/>
      <c r="H103" s="71"/>
    </row>
    <row r="104" spans="1:16" x14ac:dyDescent="0.2">
      <c r="A104" s="142"/>
      <c r="B104" s="142"/>
      <c r="C104" s="142"/>
      <c r="D104" s="142"/>
      <c r="E104" s="142"/>
      <c r="F104" s="142"/>
      <c r="G104" s="142"/>
      <c r="H104" s="142"/>
    </row>
    <row r="106" spans="1:16" x14ac:dyDescent="0.2">
      <c r="F106" s="113"/>
    </row>
    <row r="108" spans="1:16" x14ac:dyDescent="0.2">
      <c r="E108" s="112"/>
    </row>
    <row r="109" spans="1:16" x14ac:dyDescent="0.2">
      <c r="E109" s="112"/>
    </row>
  </sheetData>
  <mergeCells count="76">
    <mergeCell ref="O93:P93"/>
    <mergeCell ref="A2:P2"/>
    <mergeCell ref="A31:B31"/>
    <mergeCell ref="A32:B32"/>
    <mergeCell ref="A35:D35"/>
    <mergeCell ref="A43:D43"/>
    <mergeCell ref="B3:F3"/>
    <mergeCell ref="B4:F4"/>
    <mergeCell ref="B5:F5"/>
    <mergeCell ref="B6:F6"/>
    <mergeCell ref="B7:F7"/>
    <mergeCell ref="A21:D21"/>
    <mergeCell ref="K8:K9"/>
    <mergeCell ref="A28:B28"/>
    <mergeCell ref="A29:B29"/>
    <mergeCell ref="A30:B30"/>
    <mergeCell ref="A23:B23"/>
    <mergeCell ref="A70:D70"/>
    <mergeCell ref="A73:D73"/>
    <mergeCell ref="A71:D71"/>
    <mergeCell ref="A76:D76"/>
    <mergeCell ref="A64:D64"/>
    <mergeCell ref="A67:D67"/>
    <mergeCell ref="A68:D68"/>
    <mergeCell ref="A69:D69"/>
    <mergeCell ref="A65:D65"/>
    <mergeCell ref="A48:D48"/>
    <mergeCell ref="A49:D49"/>
    <mergeCell ref="A52:D52"/>
    <mergeCell ref="A54:D54"/>
    <mergeCell ref="A58:D58"/>
    <mergeCell ref="A50:D50"/>
    <mergeCell ref="A63:D63"/>
    <mergeCell ref="A53:D53"/>
    <mergeCell ref="A56:D56"/>
    <mergeCell ref="A57:D57"/>
    <mergeCell ref="A60:D60"/>
    <mergeCell ref="A61:D61"/>
    <mergeCell ref="A24:B24"/>
    <mergeCell ref="A25:B25"/>
    <mergeCell ref="A26:B26"/>
    <mergeCell ref="A27:B27"/>
    <mergeCell ref="A74:D74"/>
    <mergeCell ref="A46:D46"/>
    <mergeCell ref="A47:D47"/>
    <mergeCell ref="A44:D44"/>
    <mergeCell ref="A33:D33"/>
    <mergeCell ref="A41:D41"/>
    <mergeCell ref="A36:D36"/>
    <mergeCell ref="A37:D37"/>
    <mergeCell ref="A38:D38"/>
    <mergeCell ref="A39:D39"/>
    <mergeCell ref="A40:D40"/>
    <mergeCell ref="A62:D62"/>
    <mergeCell ref="A77:D77"/>
    <mergeCell ref="A78:D78"/>
    <mergeCell ref="A79:D79"/>
    <mergeCell ref="A82:D82"/>
    <mergeCell ref="A87:D87"/>
    <mergeCell ref="A88:D88"/>
    <mergeCell ref="A80:D80"/>
    <mergeCell ref="A83:D83"/>
    <mergeCell ref="A84:D84"/>
    <mergeCell ref="A85:D85"/>
    <mergeCell ref="A86:D86"/>
    <mergeCell ref="A89:D89"/>
    <mergeCell ref="A104:H104"/>
    <mergeCell ref="A90:D90"/>
    <mergeCell ref="A91:D91"/>
    <mergeCell ref="A92:D92"/>
    <mergeCell ref="A96:D96"/>
    <mergeCell ref="A99:D99"/>
    <mergeCell ref="A97:D97"/>
    <mergeCell ref="A93:D93"/>
    <mergeCell ref="A95:D95"/>
    <mergeCell ref="A101:D101"/>
  </mergeCells>
  <phoneticPr fontId="2" type="noConversion"/>
  <conditionalFormatting sqref="E43:F43 E85:F85">
    <cfRule type="cellIs" dxfId="11" priority="1" stopIfTrue="1" operator="lessThan">
      <formula>0</formula>
    </cfRule>
  </conditionalFormatting>
  <conditionalFormatting sqref="E52:F53">
    <cfRule type="expression" dxfId="10" priority="2" stopIfTrue="1">
      <formula>AND($H$52&gt;0,$H$52&lt;100000)</formula>
    </cfRule>
  </conditionalFormatting>
  <conditionalFormatting sqref="P11">
    <cfRule type="expression" dxfId="9" priority="14" stopIfTrue="1">
      <formula>AND($O$11&gt;0,ISBLANK($P$11))</formula>
    </cfRule>
  </conditionalFormatting>
  <conditionalFormatting sqref="P12">
    <cfRule type="expression" dxfId="8" priority="15" stopIfTrue="1">
      <formula>AND($O$12&gt;0,ISBLANK($P$12))</formula>
    </cfRule>
  </conditionalFormatting>
  <conditionalFormatting sqref="P13">
    <cfRule type="expression" dxfId="7" priority="16" stopIfTrue="1">
      <formula>AND($O$13&gt;0,ISBLANK($P$13))</formula>
    </cfRule>
  </conditionalFormatting>
  <conditionalFormatting sqref="P14">
    <cfRule type="expression" dxfId="6" priority="17" stopIfTrue="1">
      <formula>AND($O$14&gt;0,ISBLANK($P$14))</formula>
    </cfRule>
  </conditionalFormatting>
  <conditionalFormatting sqref="P15">
    <cfRule type="expression" dxfId="5" priority="18" stopIfTrue="1">
      <formula>AND($O$15&gt;0,ISBLANK($P$15))</formula>
    </cfRule>
  </conditionalFormatting>
  <conditionalFormatting sqref="P16">
    <cfRule type="expression" dxfId="4" priority="19" stopIfTrue="1">
      <formula>AND($O$16&gt;0,ISBLANK($P$16))</formula>
    </cfRule>
  </conditionalFormatting>
  <conditionalFormatting sqref="P17">
    <cfRule type="expression" dxfId="3" priority="20" stopIfTrue="1">
      <formula>AND($O$17&gt;0,ISBLANK($P$17))</formula>
    </cfRule>
  </conditionalFormatting>
  <conditionalFormatting sqref="P18">
    <cfRule type="expression" dxfId="2" priority="21" stopIfTrue="1">
      <formula>AND($O$18&gt;0,ISBLANK($P$18))</formula>
    </cfRule>
  </conditionalFormatting>
  <conditionalFormatting sqref="P19">
    <cfRule type="expression" dxfId="1" priority="22" stopIfTrue="1">
      <formula>AND($O$19&gt;0,ISBLANK($P$19))</formula>
    </cfRule>
  </conditionalFormatting>
  <conditionalFormatting sqref="P20">
    <cfRule type="expression" dxfId="0" priority="23" stopIfTrue="1">
      <formula>AND($O$20&gt;0,ISBLANK($P$20))</formula>
    </cfRule>
  </conditionalFormatting>
  <dataValidations count="90">
    <dataValidation type="textLength" errorStyle="warning" operator="lessThan" allowBlank="1" showErrorMessage="1" errorTitle="Project title" error="The NIH limits project titles to 200 characters and the title you typed exceeds this number." promptTitle="Project title" prompt="Fill in the title as it will be submitted to the NIH NO LONGER THAN 81 CHARACTERS (e.g., Impact of TB on HIV-infected patients)." sqref="B4:F4">
      <formula1>200</formula1>
    </dataValidation>
    <dataValidation allowBlank="1" showErrorMessage="1" promptTitle="PI name" prompt="Fill in the Principal Investigator's name (e.g., Mike Burry, MD)." sqref="B3:F3"/>
    <dataValidation allowBlank="1" showErrorMessage="1" promptTitle="Start date" prompt="No entry required - calculated from Start Date in Year 1." sqref="B5:F5"/>
    <dataValidation allowBlank="1" showErrorMessage="1" promptTitle="End date" prompt="No entry required - calculated from End Date in Year 5." sqref="B6:F6"/>
    <dataValidation allowBlank="1" showErrorMessage="1" promptTitle="Salary names" prompt="Fill in the first name and last name of each person on the project (e.g., Mike Burry)" sqref="A11:A20"/>
    <dataValidation allowBlank="1" showErrorMessage="1" promptTitle="Current salary" prompt="Fill in this person's current Institutional Base Salary without decimals, which include supplemental pay, but excludes X-pays, VA salary and clinical salary (e.g., 87,777)." sqref="B11:B20"/>
    <dataValidation allowBlank="1" showErrorMessage="1" promptTitle="Adjusted salary" prompt="The Adj salary is a pro-rated calculation of cost-of-living increases between their current salary and their salary at the time the project will begin." sqref="C11:C20"/>
    <dataValidation allowBlank="1" showErrorMessage="1" promptTitle="Calendar months" prompt="Calculates the calendar months' effort this person will spend on the project, based on their effort %." sqref="I11:I20"/>
    <dataValidation allowBlank="1" showErrorMessage="1" promptTitle="Cost share salaries" prompt="This cell is filled in automatically with the name if the amount in the Current Salary cell is over the current NIH cap." sqref="K11:K20"/>
    <dataValidation allowBlank="1" showErrorMessage="1" promptTitle="Annual salary calculations" prompt="These are calculated automatically based on the Adjusted Salary x the effort %, with a cost-of-living allowance added Years 2 and up." sqref="E11:F20"/>
    <dataValidation allowBlank="1" showInputMessage="1" showErrorMessage="1" promptTitle="Cost share salaries" prompt="Automatically calculates the difference between the actual salary and the current NIH cap, times the effort and including cost-of-living allowances Years 2 and above." sqref="N11:N20"/>
    <dataValidation allowBlank="1" showErrorMessage="1" promptTitle="Cost share speedtype" prompt="Fill in the 5-character speedtype to be used for the cost share funding (usually a letter plus 4 numbers).  CANNOT be a grant speedtype." sqref="P11:P20"/>
    <dataValidation allowBlank="1" showErrorMessage="1" promptTitle="Fringe benefit names" prompt="Automatically filled in based with the names from the corresponding Salaries cells above." sqref="A23:B32"/>
    <dataValidation allowBlank="1" showErrorMessage="1" promptTitle="GRA designation" prompt="If this person is a Graduate Research Assistant, fill in GRA here and the Fringe % will automatically be set to 0 and the first year filled in based on the current GRA fringe amount." sqref="C23:C32"/>
    <dataValidation allowBlank="1" showErrorMessage="1" promptTitle="Fringe %" prompt="Fill in the fringe benefit % for this person (e.g., if you want to enter 28.5%, then fill in 28.5).  Standard is 28.5% but you can override this amount if you want to use the person's actual fringe rate." sqref="D23:D32"/>
    <dataValidation allowBlank="1" showErrorMessage="1" promptTitle="Fringe calculations" prompt="Automatically calculates by multiplying the salary amount in the corresponding cell above by the Fringe % listed to the left.  If a GRA, then fills in the current amount the first year and adds the cost-of-living % increase in Years 2 and above." sqref="E23:F32"/>
    <dataValidation allowBlank="1" showErrorMessage="1" promptTitle="Total salary support" prompt="Each cell is the total amount of salary requested from the sponsor for this person." sqref="H11:H20"/>
    <dataValidation allowBlank="1" showErrorMessage="1" promptTitle="Project sponsor salary support" prompt="Total amount of salary requested from sponsor for all persons on this project." sqref="H21"/>
    <dataValidation allowBlank="1" showErrorMessage="1" promptTitle="Total fringe support" prompt="Each cell is the total amount of fringe support requested from the sponsor for this person." sqref="H23:H32"/>
    <dataValidation allowBlank="1" showErrorMessage="1" promptTitle="Salary subtotals" prompt="Sums the salary amounts requested from the sponsor for each year of the project." sqref="E21:F21"/>
    <dataValidation allowBlank="1" showErrorMessage="1" promptTitle="Annual fringe support" prompt="Sums the fringe benefits amounts requested from the sponsor for each year of the project." sqref="E33:F33"/>
    <dataValidation allowBlank="1" showErrorMessage="1" promptTitle="Project sponsor fringe support" prompt="Total amount of fringe benefits requested from sponsor for all persons on this project." sqref="H33"/>
    <dataValidation allowBlank="1" showErrorMessage="1" promptTitle="Annual cost share salary totals" prompt="Sums the cost share salary amounts for each year of the project." sqref="L21:M21"/>
    <dataValidation allowBlank="1" showErrorMessage="1" promptTitle="Cost share salary proj totals" prompt="Each cell is the total amount of salary required to be cost-shared for this person to cover the difference between their actual salary and the NIH cap." sqref="O11:O20"/>
    <dataValidation allowBlank="1" showErrorMessage="1" promptTitle="Cost share salary project total" prompt="Total amount of cost share for salaries for the entire project." sqref="O21"/>
    <dataValidation allowBlank="1" showErrorMessage="1" promptTitle="Cost share fringe names" prompt="Automatically filled in based with the names from the corresponding Salaries cells above." sqref="K23:K32"/>
    <dataValidation allowBlank="1" showErrorMessage="1" promptTitle="Fringe cost share speedtype" prompt="Automatically filled in based on the speedtype listed on the salary lines as must use the same for salary and fringe." sqref="P23:P32"/>
    <dataValidation allowBlank="1" showErrorMessage="1" promptTitle="Cost share fringe benefits" prompt="Automatically calculates by multiplying the salary amount in the corresponding cell above by the Fringe % listed to the far left.  " sqref="L23:M32"/>
    <dataValidation allowBlank="1" showErrorMessage="1" promptTitle="Cost share fringe proj totals" prompt="Each cell is the total amount of fringe benefits costs required to be cost-shared for this person." sqref="O23:O32"/>
    <dataValidation allowBlank="1" showErrorMessage="1" promptTitle="Annual cost share fringe totals" prompt="Sums the costs fringe benefits amounts for each year of the project." sqref="L33:M33"/>
    <dataValidation allowBlank="1" showErrorMessage="1" promptTitle="Cost share fringe project total" prompt="Total amount of cost share fringe benefits required for the project." sqref="O33"/>
    <dataValidation allowBlank="1" showErrorMessage="1" promptTitle="Project period start date" prompt="Date the project period begins for this year." sqref="F8"/>
    <dataValidation allowBlank="1" showErrorMessage="1" promptTitle="Project period end date" prompt="Date the project period ends for this year." sqref="E9:F9"/>
    <dataValidation allowBlank="1" showErrorMessage="1" promptTitle="Equipment" prompt="Fill in the name of the piece of equipment or equipment system you are requesting from the sponsor." sqref="A36:D40"/>
    <dataValidation type="whole" operator="greaterThanOrEqual" allowBlank="1" showErrorMessage="1" errorTitle="Equipment price" error="Equipment price must be $5,000 or greater.  If the price is less than $5,000, you must enter it in the Other Expenses section." promptTitle="Equipment costs" prompt="Fill in the amount of the equipment on this line, in the year it will be purchased." sqref="E36:E40 F35:F40">
      <formula1>5000</formula1>
    </dataValidation>
    <dataValidation allowBlank="1" showErrorMessage="1" promptTitle="Annual equipment costs" prompt="Sums the equipment costs requested from the sponsor for each year of the project." sqref="E41:F41"/>
    <dataValidation allowBlank="1" showErrorMessage="1" promptTitle="Equipment subtotal" prompt="Each cell is the total amount of equipment funding requested from the sponsor." sqref="H35:H40"/>
    <dataValidation allowBlank="1" showErrorMessage="1" promptTitle="Supplies total" prompt="Each cell is the total amount of supplies funding requested from the sponsor." sqref="H43"/>
    <dataValidation type="whole" operator="greaterThan" allowBlank="1" showErrorMessage="1" promptTitle="Supplies" prompt="Each cell is calculated automatically by taking the Target amount for that year and subtracting all other costs except subcontract indirect costs." sqref="F43">
      <formula1>0</formula1>
    </dataValidation>
    <dataValidation allowBlank="1" showErrorMessage="1" promptTitle="Annual supplies costs" prompt="Sums the supplies costs requested from the sponsor for each year of the project." sqref="E44:F44"/>
    <dataValidation allowBlank="1" showErrorMessage="1" promptTitle="Project sponsor supplies support" prompt="Total amount of supplies costs requested from sponsor for this project." sqref="H44"/>
    <dataValidation allowBlank="1" showErrorMessage="1" promptTitle="Patient care items" prompt="Fill in the type of patient care cost (e.g., CT scans)" sqref="A46:D49"/>
    <dataValidation allowBlank="1" showErrorMessage="1" promptTitle="Patient care costs" prompt="Fill in the amount of patient care costs for this year in this cell." sqref="F46:F49 E47:E49"/>
    <dataValidation allowBlank="1" showErrorMessage="1" promptTitle="Total sponsor patient care costs" prompt="Each cell is the total amount of patient care costs support requested from the sponsor for this type of patient care." sqref="H46:H49"/>
    <dataValidation allowBlank="1" showErrorMessage="1" promptTitle="Annual patient care costs" prompt="Sums the patient care costs requested from the sponsor for each year of the project." sqref="E50:F50"/>
    <dataValidation allowBlank="1" showErrorMessage="1" promptTitle="Project sponsor pt care support" prompt="Total amount of patient care costs requested from sponsor for this project." sqref="H50"/>
    <dataValidation allowBlank="1" showErrorMessage="1" promptTitle="Alteration/renovation items" prompt="Fill in a short description of the renovation or building alteration (e.g., hood installation)." sqref="A53:D53"/>
    <dataValidation allowBlank="1" showErrorMessage="1" promptTitle="Alterations/renovations totals" prompt="Each cell is the total alteration/renovation costs for this line for the entire project." sqref="H52:H53"/>
    <dataValidation allowBlank="1" showErrorMessage="1" promptTitle="Annual alterations/renov costs" prompt="Sums the alteration/renovation costs requested from the sponsor for each year of the project." sqref="E54:F54"/>
    <dataValidation allowBlank="1" showErrorMessage="1" promptTitle="Project sponsor alter/renov" prompt="Total amount of patient care costs requested from sponsor for this project." sqref="H54"/>
    <dataValidation allowBlank="1" showErrorMessage="1" promptTitle="Off site rental items" prompt="Fill in the description the of off-site rental cost (e.g., CTRB lobby rental)" sqref="A56:D57"/>
    <dataValidation allowBlank="1" showErrorMessage="1" promptTitle="Off-site rentals costs" prompt="Fill in the amount of off-site rental costs for this year in this cell." sqref="E56:F57"/>
    <dataValidation allowBlank="1" showErrorMessage="1" promptTitle="Annual off-site rental costs" prompt="Sums the off-site rentals costs requested from the sponsor for each year of the project." sqref="E58:F58"/>
    <dataValidation allowBlank="1" showErrorMessage="1" promptTitle="Off-site rentals totals" prompt="Each cell is the total off-site rentals costs for this line for the entire project." sqref="H56:H57"/>
    <dataValidation allowBlank="1" showErrorMessage="1" promptTitle="Project sponsor off-site rental" prompt="Total amount of off-site rentals costs requested from sponsor for this project." sqref="H58"/>
    <dataValidation allowBlank="1" showErrorMessage="1" promptTitle="Subcontractors" prompt="Automatically fills in the Institution names if the Subcontracts worksheet has been completed." sqref="A60:D64"/>
    <dataValidation allowBlank="1" showErrorMessage="1" promptTitle="Subcontractor costs" prompt="Automatically fills in the mount of the subcontractor total costs (direct and indirect) for this year in this cell.  " sqref="E60:F64"/>
    <dataValidation allowBlank="1" showErrorMessage="1" promptTitle="Annual subonctractor costs" prompt="Sums the subcontractor costs requested from the sponsor for each year of the project." sqref="E65:F65"/>
    <dataValidation allowBlank="1" showErrorMessage="1" promptTitle="Subcontract line total" prompt="Each cell is the total subcontractor costs for this line for the entire project." sqref="H60:H64"/>
    <dataValidation allowBlank="1" showErrorMessage="1" promptTitle="Project sponsor subcontractor" prompt="Total amount of subcontractor costs requested from sponsor for this project" sqref="H65"/>
    <dataValidation allowBlank="1" showErrorMessage="1" promptTitle="Travel items" prompt="Fill in the description the of each travel cost (e.g., PI to 1 national meeting)." sqref="A67:D70"/>
    <dataValidation allowBlank="1" showErrorMessage="1" promptTitle="Travel costs" prompt="Fill in the amount of travel costs for this year in this cell.  " sqref="E67:F70"/>
    <dataValidation allowBlank="1" showErrorMessage="1" promptTitle="Annual travel costs" prompt="Sums the travel costs requested from the sponsor for each year of the project." sqref="E71:F71"/>
    <dataValidation allowBlank="1" showErrorMessage="1" promptTitle="Travel costs" prompt="Each cell is the total travel costs for this line for the entire project." sqref="H67:H70"/>
    <dataValidation allowBlank="1" showErrorMessage="1" promptTitle="Project sponsor travel support" prompt="Total amount of travel costs requested from sponsor for this project_x000a__x000a_" sqref="H71"/>
    <dataValidation allowBlank="1" showErrorMessage="1" promptTitle="Tuition costs" prompt="Automatically calculates the number of individuals requiring tuition support by taking the number of persons classified as GRA in the fringe section and multiplying that # by the amount of tuition listed on the References page." sqref="A73:D73"/>
    <dataValidation allowBlank="1" showErrorMessage="1" promptTitle="Tuition costs" prompt="Automatically fills in the amount of tuition costs for this year in this cell, and adds a cost-of-living increase beginning in Year 2." sqref="E73:F73"/>
    <dataValidation allowBlank="1" showErrorMessage="1" promptTitle="Tuition costs" prompt="Each cell is the total tuition costs for this line for the entire project." sqref="H73"/>
    <dataValidation allowBlank="1" showErrorMessage="1" promptTitle="Annual tuition costs" prompt="Sums the tuition costs requested from the sponsor for each year of the project." sqref="E74:F74"/>
    <dataValidation allowBlank="1" showErrorMessage="1" promptTitle="Project sponsor tuition costs" prompt="Total amount of tuition costs requested from sponsor for this project" sqref="H74"/>
    <dataValidation allowBlank="1" showErrorMessage="1" promptTitle="Other expenses items" prompt="Fill in the description the of this other expense cost (e.g., Publications)" sqref="A76:D79"/>
    <dataValidation allowBlank="1" showErrorMessage="1" promptTitle="Other expenses costs" prompt="Fill in the amount of this other expense cost for this year in this cell.  " sqref="E76:F79"/>
    <dataValidation allowBlank="1" showErrorMessage="1" promptTitle="Other expenses totals" prompt="Each cell is the total other expenses costs for this line for the entire project." sqref="H76:H79"/>
    <dataValidation allowBlank="1" showErrorMessage="1" promptTitle="Annual other expenses costs" prompt="Sums the other expenses costs requested from the sponsor for each year of the project." sqref="E80:F80"/>
    <dataValidation allowBlank="1" showErrorMessage="1" promptTitle="Project sponsor other exp suppor" prompt="Total amount of other expenses costs requested from sponsor for this project." sqref="H80"/>
    <dataValidation allowBlank="1" showErrorMessage="1" promptTitle="Category annual subtotals" prompt="This cell is the same as the subtotal highlighted in grey above for this category." sqref="E82:F92"/>
    <dataValidation type="list" allowBlank="1" showInputMessage="1" showErrorMessage="1" sqref="E101:F101">
      <formula1>"$25000,$50000,$75000,$100000,$125000,$150000,$175000,$200000,$225000,$250000,$500000"</formula1>
    </dataValidation>
    <dataValidation type="list" allowBlank="1" showErrorMessage="1" promptTitle="Cost of living % increase" prompt="Fill in the cost of living allowance that will be applied to each year after Year 1 for salaries.  NOTE: cannot be greater than 3%." sqref="B7:F7">
      <formula1>"0, 0.5%,1.0%,1.5%,2.0%,2.5%,3.0%"</formula1>
    </dataValidation>
    <dataValidation allowBlank="1" showErrorMessage="1" promptTitle="Project period start date" prompt="Fill in the date the project begins." sqref="E8"/>
    <dataValidation allowBlank="1" showErrorMessage="1" promptTitle="Effort %" prompt="Enter the effort percentage this person will work on this project (e.g., if they will work 20%, enter 20).  NOTE: do not use decimals as it's difficult to justify that to sponsors." sqref="D11:D20"/>
    <dataValidation allowBlank="1" showErrorMessage="1" promptTitle="Equipment item" prompt="Fill in the name of the piece of equipment or equipment system you are requesting from the sponsor (e.g., Electron microscope)." sqref="A35:D35"/>
    <dataValidation type="whole" operator="greaterThanOrEqual" allowBlank="1" showErrorMessage="1" errorTitle="Equipment price" error="Equipment price must be $5,000 or greater.  If the price is less than $5,000, you must enter it in the Other Expenses section." promptTitle="Equipment costs" prompt="Fill in the cost of the equipment on this line, in the year it will be purchased.  NOTE: equipment must be greater than $5,000, so if the equipment is less, list it in Other Expenses instead.  You will get an error message if you try to enter less here." sqref="E35">
      <formula1>5000</formula1>
    </dataValidation>
    <dataValidation allowBlank="1" showErrorMessage="1" promptTitle="Supplies items" prompt="You cannot itemize supplies on this spreadsheet." sqref="A43:D43"/>
    <dataValidation type="whole" operator="greaterThan" allowBlank="1" showErrorMessage="1" promptTitle="Supplies costs" prompt="Each cell is calculated automatically by taking the Target amount for that year and subtracting all other costs except subcontract indirect costs." sqref="E43">
      <formula1>0</formula1>
    </dataValidation>
    <dataValidation allowBlank="1" showErrorMessage="1" promptTitle="Patient care costs" prompt="Fill in the costs of patient care costs for this year in this cell." sqref="E46"/>
    <dataValidation allowBlank="1" showErrorMessage="1" promptTitle="Alteration/renovation items" prompt="Fill in a short description of the renovation or building alteration (e.g., Hood installation)." sqref="A52:D52"/>
    <dataValidation allowBlank="1" showErrorMessage="1" promptTitle="Cost share salaries" prompt="Automatically calculates the difference between the actual salary and the current NIH cap, times the effort and including cost-of-living allowances Years 2 and above." sqref="L11:M20"/>
    <dataValidation allowBlank="1" showErrorMessage="1" sqref="H41 H82:H92"/>
    <dataValidation allowBlank="1" showErrorMessage="1" promptTitle="Alteration/renovation costs" prompt="Fill in the amount of alteration or renovation costs for this year in this cell.  NOTE: if total for each line is &lt;$100,000, line will turn red as if less than $100,000 should be in the Other Expenses section." sqref="E52:F53"/>
    <dataValidation allowBlank="1" showErrorMessage="1" promptTitle="Comments" prompt="Enter in comments about the budget, if needed (e.g., Burry will be promoted 8/10 so the base salary listed is the projected amount)." sqref="A104:H104"/>
  </dataValidations>
  <hyperlinks>
    <hyperlink ref="M35" r:id="rId1"/>
    <hyperlink ref="M38" r:id="rId2"/>
  </hyperlinks>
  <pageMargins left="0.25" right="0.25" top="0.25" bottom="0.25" header="0.5" footer="0.5"/>
  <pageSetup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P52"/>
  <sheetViews>
    <sheetView topLeftCell="A14" workbookViewId="0">
      <selection activeCell="J52" sqref="J52"/>
    </sheetView>
  </sheetViews>
  <sheetFormatPr defaultRowHeight="12.75" x14ac:dyDescent="0.2"/>
  <cols>
    <col min="1" max="1" width="36.5703125" style="28" customWidth="1"/>
    <col min="2" max="2" width="9.5703125" style="28" bestFit="1" customWidth="1"/>
    <col min="3" max="3" width="9.7109375" style="28" bestFit="1" customWidth="1"/>
    <col min="4" max="4" width="1.42578125" style="28" customWidth="1"/>
    <col min="5" max="5" width="11.7109375" style="28" customWidth="1"/>
    <col min="6" max="12" width="9.140625" style="28"/>
  </cols>
  <sheetData>
    <row r="2" spans="1:16" s="51" customFormat="1" ht="15.75" x14ac:dyDescent="0.25">
      <c r="A2" s="160" t="s">
        <v>66</v>
      </c>
      <c r="B2" s="160"/>
      <c r="C2" s="160"/>
      <c r="D2" s="160"/>
      <c r="E2" s="160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x14ac:dyDescent="0.2">
      <c r="A3" s="169" t="s">
        <v>67</v>
      </c>
      <c r="B3" s="169"/>
      <c r="C3" s="169"/>
      <c r="D3" s="169"/>
      <c r="E3" s="169"/>
    </row>
    <row r="4" spans="1:16" x14ac:dyDescent="0.2">
      <c r="A4" s="31" t="s">
        <v>25</v>
      </c>
      <c r="B4" s="168"/>
      <c r="C4" s="168"/>
      <c r="D4" s="168"/>
      <c r="E4" s="168"/>
    </row>
    <row r="5" spans="1:16" x14ac:dyDescent="0.2">
      <c r="A5" s="31" t="s">
        <v>154</v>
      </c>
      <c r="B5" s="168"/>
      <c r="C5" s="168"/>
      <c r="D5" s="168"/>
      <c r="E5" s="168"/>
    </row>
    <row r="6" spans="1:16" s="4" customFormat="1" ht="12" x14ac:dyDescent="0.2">
      <c r="A6" s="58"/>
      <c r="B6" s="56" t="s">
        <v>4</v>
      </c>
      <c r="C6" s="56" t="s">
        <v>5</v>
      </c>
      <c r="D6" s="56"/>
      <c r="E6" s="56" t="s">
        <v>7</v>
      </c>
      <c r="F6" s="32"/>
      <c r="G6" s="32"/>
      <c r="H6" s="32"/>
      <c r="I6" s="32"/>
      <c r="J6" s="32"/>
      <c r="K6" s="32"/>
      <c r="L6" s="32"/>
    </row>
    <row r="7" spans="1:16" s="3" customFormat="1" ht="12" x14ac:dyDescent="0.2">
      <c r="A7" s="49" t="s">
        <v>23</v>
      </c>
      <c r="B7" s="94"/>
      <c r="C7" s="94"/>
      <c r="D7" s="34"/>
      <c r="E7" s="35">
        <f>SUM(B7:C7)</f>
        <v>0</v>
      </c>
      <c r="F7" s="28"/>
      <c r="G7" s="28"/>
      <c r="H7" s="28"/>
      <c r="I7" s="28"/>
      <c r="J7" s="28"/>
      <c r="K7" s="28"/>
      <c r="L7" s="28"/>
    </row>
    <row r="8" spans="1:16" s="3" customFormat="1" ht="12" x14ac:dyDescent="0.2">
      <c r="A8" s="49" t="s">
        <v>24</v>
      </c>
      <c r="B8" s="94"/>
      <c r="C8" s="94"/>
      <c r="D8" s="34"/>
      <c r="E8" s="35">
        <f>SUM(B8:C8)</f>
        <v>0</v>
      </c>
      <c r="F8" s="28"/>
      <c r="G8" s="28"/>
      <c r="H8" s="28"/>
      <c r="I8" s="28"/>
      <c r="J8" s="28"/>
      <c r="K8" s="28"/>
      <c r="L8" s="28"/>
    </row>
    <row r="9" spans="1:16" s="5" customFormat="1" ht="12" x14ac:dyDescent="0.2">
      <c r="A9" s="47" t="s">
        <v>10</v>
      </c>
      <c r="B9" s="24">
        <f>SUM(B7:B8)</f>
        <v>0</v>
      </c>
      <c r="C9" s="24">
        <f>SUM(C7:C8)</f>
        <v>0</v>
      </c>
      <c r="D9" s="24"/>
      <c r="E9" s="57">
        <f>SUM(B9,C9)</f>
        <v>0</v>
      </c>
      <c r="F9" s="36"/>
      <c r="G9" s="36"/>
      <c r="H9" s="36"/>
      <c r="I9" s="36"/>
      <c r="J9" s="36"/>
      <c r="K9" s="36"/>
      <c r="L9" s="36"/>
    </row>
    <row r="10" spans="1:16" x14ac:dyDescent="0.2">
      <c r="A10" s="59" t="s">
        <v>34</v>
      </c>
      <c r="B10" s="34">
        <f>IF(B9&gt;25000,25000,B9)</f>
        <v>0</v>
      </c>
      <c r="C10" s="34">
        <f>IF((B9+C9)&lt;25000,C9,IF((25000-B9)&lt;0,0,25000-B9))</f>
        <v>0</v>
      </c>
      <c r="E10" s="33"/>
    </row>
    <row r="12" spans="1:16" x14ac:dyDescent="0.2">
      <c r="A12" s="169" t="s">
        <v>68</v>
      </c>
      <c r="B12" s="169"/>
      <c r="C12" s="169"/>
      <c r="D12" s="169"/>
      <c r="E12" s="169"/>
    </row>
    <row r="13" spans="1:16" x14ac:dyDescent="0.2">
      <c r="A13" s="31" t="s">
        <v>25</v>
      </c>
      <c r="B13" s="168"/>
      <c r="C13" s="168"/>
      <c r="D13" s="168"/>
      <c r="E13" s="168"/>
    </row>
    <row r="14" spans="1:16" x14ac:dyDescent="0.2">
      <c r="A14" s="31" t="s">
        <v>154</v>
      </c>
      <c r="B14" s="168"/>
      <c r="C14" s="168"/>
      <c r="D14" s="168"/>
      <c r="E14" s="168"/>
    </row>
    <row r="15" spans="1:16" s="4" customFormat="1" ht="12" x14ac:dyDescent="0.2">
      <c r="A15" s="58"/>
      <c r="B15" s="56" t="s">
        <v>4</v>
      </c>
      <c r="C15" s="56" t="s">
        <v>5</v>
      </c>
      <c r="D15" s="56"/>
      <c r="E15" s="56" t="s">
        <v>7</v>
      </c>
      <c r="F15" s="32"/>
      <c r="G15" s="32"/>
      <c r="H15" s="32"/>
      <c r="I15" s="32"/>
      <c r="J15" s="32"/>
      <c r="K15" s="32"/>
      <c r="L15" s="32"/>
    </row>
    <row r="16" spans="1:16" s="3" customFormat="1" ht="12" x14ac:dyDescent="0.2">
      <c r="A16" s="49" t="s">
        <v>23</v>
      </c>
      <c r="B16" s="94"/>
      <c r="C16" s="94"/>
      <c r="D16" s="34"/>
      <c r="E16" s="35">
        <f>SUM(B16:C16)</f>
        <v>0</v>
      </c>
      <c r="F16" s="28"/>
      <c r="G16" s="28"/>
      <c r="H16" s="28"/>
      <c r="I16" s="28"/>
      <c r="J16" s="28"/>
      <c r="K16" s="28"/>
      <c r="L16" s="28"/>
    </row>
    <row r="17" spans="1:12" s="3" customFormat="1" ht="12" x14ac:dyDescent="0.2">
      <c r="A17" s="49" t="s">
        <v>24</v>
      </c>
      <c r="B17" s="94"/>
      <c r="C17" s="94"/>
      <c r="D17" s="34"/>
      <c r="E17" s="35">
        <f>SUM(B17:C17)</f>
        <v>0</v>
      </c>
      <c r="F17" s="28"/>
      <c r="G17" s="28"/>
      <c r="H17" s="28"/>
      <c r="I17" s="28"/>
      <c r="J17" s="28"/>
      <c r="K17" s="28"/>
      <c r="L17" s="28"/>
    </row>
    <row r="18" spans="1:12" s="5" customFormat="1" ht="12" x14ac:dyDescent="0.2">
      <c r="A18" s="47" t="s">
        <v>10</v>
      </c>
      <c r="B18" s="24">
        <f>SUM(B16:B17)</f>
        <v>0</v>
      </c>
      <c r="C18" s="24">
        <f>SUM(C16:C17)</f>
        <v>0</v>
      </c>
      <c r="D18" s="24"/>
      <c r="E18" s="57">
        <f>SUM(B18,C18)</f>
        <v>0</v>
      </c>
      <c r="F18" s="36"/>
      <c r="G18" s="36"/>
      <c r="H18" s="36"/>
      <c r="I18" s="36"/>
      <c r="J18" s="36"/>
      <c r="K18" s="36"/>
      <c r="L18" s="36"/>
    </row>
    <row r="19" spans="1:12" s="3" customFormat="1" ht="12" x14ac:dyDescent="0.2">
      <c r="A19" s="59" t="s">
        <v>34</v>
      </c>
      <c r="B19" s="34">
        <f>IF(B18&gt;25000,25000,B18)</f>
        <v>0</v>
      </c>
      <c r="C19" s="34">
        <f>IF((B18+C18)&lt;25000,C18,IF((25000-B18)&lt;0,0,25000-B18))</f>
        <v>0</v>
      </c>
      <c r="D19" s="28"/>
      <c r="E19" s="33"/>
      <c r="F19" s="28"/>
      <c r="G19" s="28"/>
      <c r="H19" s="28"/>
      <c r="I19" s="28"/>
      <c r="J19" s="28"/>
      <c r="K19" s="28"/>
      <c r="L19" s="28"/>
    </row>
    <row r="21" spans="1:12" x14ac:dyDescent="0.2">
      <c r="A21" s="169" t="s">
        <v>69</v>
      </c>
      <c r="B21" s="169"/>
      <c r="C21" s="169"/>
      <c r="D21" s="169"/>
      <c r="E21" s="169"/>
    </row>
    <row r="22" spans="1:12" x14ac:dyDescent="0.2">
      <c r="A22" s="31" t="s">
        <v>25</v>
      </c>
      <c r="B22" s="168"/>
      <c r="C22" s="168"/>
      <c r="D22" s="168"/>
      <c r="E22" s="168"/>
    </row>
    <row r="23" spans="1:12" x14ac:dyDescent="0.2">
      <c r="A23" s="31" t="s">
        <v>154</v>
      </c>
      <c r="B23" s="168"/>
      <c r="C23" s="168"/>
      <c r="D23" s="168"/>
      <c r="E23" s="168"/>
    </row>
    <row r="24" spans="1:12" s="4" customFormat="1" ht="12" x14ac:dyDescent="0.2">
      <c r="A24" s="58"/>
      <c r="B24" s="56" t="s">
        <v>4</v>
      </c>
      <c r="C24" s="56" t="s">
        <v>5</v>
      </c>
      <c r="D24" s="56"/>
      <c r="E24" s="56" t="s">
        <v>7</v>
      </c>
      <c r="F24" s="32"/>
      <c r="G24" s="32"/>
      <c r="H24" s="32"/>
      <c r="I24" s="32"/>
      <c r="J24" s="32"/>
      <c r="K24" s="32"/>
      <c r="L24" s="32"/>
    </row>
    <row r="25" spans="1:12" s="3" customFormat="1" ht="12" x14ac:dyDescent="0.2">
      <c r="A25" s="49" t="s">
        <v>23</v>
      </c>
      <c r="B25" s="94"/>
      <c r="C25" s="94"/>
      <c r="D25" s="34"/>
      <c r="E25" s="35">
        <f>SUM(B25:C25)</f>
        <v>0</v>
      </c>
      <c r="F25" s="28"/>
      <c r="G25" s="28"/>
      <c r="H25" s="28"/>
      <c r="I25" s="28"/>
      <c r="J25" s="28"/>
      <c r="K25" s="28"/>
      <c r="L25" s="28"/>
    </row>
    <row r="26" spans="1:12" s="3" customFormat="1" ht="12" x14ac:dyDescent="0.2">
      <c r="A26" s="49" t="s">
        <v>24</v>
      </c>
      <c r="B26" s="94"/>
      <c r="C26" s="94"/>
      <c r="D26" s="34"/>
      <c r="E26" s="35">
        <f>SUM(B26:C26)</f>
        <v>0</v>
      </c>
      <c r="F26" s="28"/>
      <c r="G26" s="28"/>
      <c r="H26" s="28"/>
      <c r="I26" s="28"/>
      <c r="J26" s="28"/>
      <c r="K26" s="28"/>
      <c r="L26" s="28"/>
    </row>
    <row r="27" spans="1:12" s="5" customFormat="1" ht="12" x14ac:dyDescent="0.2">
      <c r="A27" s="47" t="s">
        <v>10</v>
      </c>
      <c r="B27" s="24">
        <f>SUM(B25:B26)</f>
        <v>0</v>
      </c>
      <c r="C27" s="24">
        <f>SUM(C25:C26)</f>
        <v>0</v>
      </c>
      <c r="D27" s="24"/>
      <c r="E27" s="57">
        <f>SUM(B27,C27)</f>
        <v>0</v>
      </c>
      <c r="F27" s="36"/>
      <c r="G27" s="36"/>
      <c r="H27" s="36"/>
      <c r="I27" s="36"/>
      <c r="J27" s="36"/>
      <c r="K27" s="36"/>
      <c r="L27" s="36"/>
    </row>
    <row r="28" spans="1:12" s="3" customFormat="1" ht="12" x14ac:dyDescent="0.2">
      <c r="A28" s="59" t="s">
        <v>34</v>
      </c>
      <c r="B28" s="34">
        <f>IF(B27&gt;25000,25000,B27)</f>
        <v>0</v>
      </c>
      <c r="C28" s="34">
        <f>IF((B27+C27)&lt;25000,C27,IF((25000-B27)&lt;0,0,25000-B27))</f>
        <v>0</v>
      </c>
      <c r="D28" s="28"/>
      <c r="E28" s="33"/>
      <c r="F28" s="28"/>
      <c r="G28" s="28"/>
      <c r="H28" s="28"/>
      <c r="I28" s="28"/>
      <c r="J28" s="28"/>
      <c r="K28" s="28"/>
      <c r="L28" s="28"/>
    </row>
    <row r="30" spans="1:12" x14ac:dyDescent="0.2">
      <c r="A30" s="169" t="s">
        <v>70</v>
      </c>
      <c r="B30" s="169"/>
      <c r="C30" s="169"/>
      <c r="D30" s="169"/>
      <c r="E30" s="169"/>
    </row>
    <row r="31" spans="1:12" x14ac:dyDescent="0.2">
      <c r="A31" s="31" t="s">
        <v>25</v>
      </c>
      <c r="B31" s="168"/>
      <c r="C31" s="168"/>
      <c r="D31" s="168"/>
      <c r="E31" s="168"/>
    </row>
    <row r="32" spans="1:12" x14ac:dyDescent="0.2">
      <c r="A32" s="31" t="s">
        <v>154</v>
      </c>
      <c r="B32" s="168"/>
      <c r="C32" s="168"/>
      <c r="D32" s="168"/>
      <c r="E32" s="168"/>
    </row>
    <row r="33" spans="1:12" s="4" customFormat="1" ht="12" x14ac:dyDescent="0.2">
      <c r="A33" s="58"/>
      <c r="B33" s="56" t="s">
        <v>4</v>
      </c>
      <c r="C33" s="56" t="s">
        <v>5</v>
      </c>
      <c r="D33" s="56"/>
      <c r="E33" s="56" t="s">
        <v>7</v>
      </c>
      <c r="F33" s="32"/>
      <c r="G33" s="32"/>
      <c r="H33" s="32"/>
      <c r="I33" s="32"/>
      <c r="J33" s="32"/>
      <c r="K33" s="32"/>
      <c r="L33" s="32"/>
    </row>
    <row r="34" spans="1:12" s="3" customFormat="1" ht="12" x14ac:dyDescent="0.2">
      <c r="A34" s="49" t="s">
        <v>23</v>
      </c>
      <c r="B34" s="94"/>
      <c r="C34" s="94"/>
      <c r="D34" s="34"/>
      <c r="E34" s="35">
        <f>SUM(B34:C34)</f>
        <v>0</v>
      </c>
      <c r="F34" s="28"/>
      <c r="G34" s="28"/>
      <c r="H34" s="28"/>
      <c r="I34" s="28"/>
      <c r="J34" s="28"/>
      <c r="K34" s="28"/>
      <c r="L34" s="28"/>
    </row>
    <row r="35" spans="1:12" s="3" customFormat="1" ht="12" x14ac:dyDescent="0.2">
      <c r="A35" s="49" t="s">
        <v>24</v>
      </c>
      <c r="B35" s="94"/>
      <c r="C35" s="94"/>
      <c r="D35" s="34"/>
      <c r="E35" s="35">
        <f>SUM(B35:C35)</f>
        <v>0</v>
      </c>
      <c r="F35" s="28"/>
      <c r="G35" s="28"/>
      <c r="H35" s="28"/>
      <c r="I35" s="28"/>
      <c r="J35" s="28"/>
      <c r="K35" s="28"/>
      <c r="L35" s="28"/>
    </row>
    <row r="36" spans="1:12" s="5" customFormat="1" ht="12" x14ac:dyDescent="0.2">
      <c r="A36" s="47" t="s">
        <v>10</v>
      </c>
      <c r="B36" s="24">
        <f>SUM(B34:B35)</f>
        <v>0</v>
      </c>
      <c r="C36" s="24">
        <f>SUM(C34:C35)</f>
        <v>0</v>
      </c>
      <c r="D36" s="24"/>
      <c r="E36" s="57">
        <f>SUM(B36,C36)</f>
        <v>0</v>
      </c>
      <c r="F36" s="36"/>
      <c r="G36" s="36"/>
      <c r="H36" s="36"/>
      <c r="I36" s="36"/>
      <c r="J36" s="36"/>
      <c r="K36" s="36"/>
      <c r="L36" s="36"/>
    </row>
    <row r="37" spans="1:12" s="3" customFormat="1" ht="12" x14ac:dyDescent="0.2">
      <c r="A37" s="59" t="s">
        <v>34</v>
      </c>
      <c r="B37" s="34">
        <f>IF(B36&gt;25000,25000,B36)</f>
        <v>0</v>
      </c>
      <c r="C37" s="34">
        <f>IF((B36+C36)&lt;25000,C36,IF((25000-B36)&lt;0,0,25000-B36))</f>
        <v>0</v>
      </c>
      <c r="D37" s="28"/>
      <c r="E37" s="33"/>
      <c r="F37" s="28"/>
      <c r="G37" s="28"/>
      <c r="H37" s="28"/>
      <c r="I37" s="28"/>
      <c r="J37" s="28"/>
      <c r="K37" s="28"/>
      <c r="L37" s="28"/>
    </row>
    <row r="38" spans="1:12" x14ac:dyDescent="0.2">
      <c r="A38" s="37"/>
      <c r="B38" s="38"/>
      <c r="C38" s="38"/>
    </row>
    <row r="39" spans="1:12" x14ac:dyDescent="0.2">
      <c r="A39" s="169" t="s">
        <v>71</v>
      </c>
      <c r="B39" s="169"/>
      <c r="C39" s="169"/>
      <c r="D39" s="169"/>
      <c r="E39" s="169"/>
    </row>
    <row r="40" spans="1:12" x14ac:dyDescent="0.2">
      <c r="A40" s="31" t="s">
        <v>25</v>
      </c>
      <c r="B40" s="168"/>
      <c r="C40" s="168"/>
      <c r="D40" s="168"/>
      <c r="E40" s="168"/>
    </row>
    <row r="41" spans="1:12" x14ac:dyDescent="0.2">
      <c r="A41" s="31" t="s">
        <v>154</v>
      </c>
      <c r="B41" s="168"/>
      <c r="C41" s="168"/>
      <c r="D41" s="168"/>
      <c r="E41" s="168"/>
    </row>
    <row r="42" spans="1:12" s="4" customFormat="1" ht="12" x14ac:dyDescent="0.2">
      <c r="A42" s="58"/>
      <c r="B42" s="56" t="s">
        <v>4</v>
      </c>
      <c r="C42" s="56" t="s">
        <v>5</v>
      </c>
      <c r="D42" s="56"/>
      <c r="E42" s="56" t="s">
        <v>7</v>
      </c>
      <c r="F42" s="32"/>
      <c r="G42" s="32"/>
      <c r="H42" s="32"/>
      <c r="I42" s="32"/>
      <c r="J42" s="32"/>
      <c r="K42" s="32"/>
      <c r="L42" s="32"/>
    </row>
    <row r="43" spans="1:12" s="3" customFormat="1" ht="12" x14ac:dyDescent="0.2">
      <c r="A43" s="49" t="s">
        <v>23</v>
      </c>
      <c r="B43" s="94"/>
      <c r="C43" s="94"/>
      <c r="D43" s="34"/>
      <c r="E43" s="35">
        <f>SUM(B43:C43)</f>
        <v>0</v>
      </c>
      <c r="F43" s="28"/>
      <c r="G43" s="28"/>
      <c r="H43" s="28"/>
      <c r="I43" s="28"/>
      <c r="J43" s="28"/>
      <c r="K43" s="28"/>
      <c r="L43" s="28"/>
    </row>
    <row r="44" spans="1:12" s="3" customFormat="1" ht="12" x14ac:dyDescent="0.2">
      <c r="A44" s="49" t="s">
        <v>24</v>
      </c>
      <c r="B44" s="94"/>
      <c r="C44" s="94"/>
      <c r="D44" s="34"/>
      <c r="E44" s="35">
        <f>SUM(B44:C44)</f>
        <v>0</v>
      </c>
      <c r="F44" s="28"/>
      <c r="G44" s="28"/>
      <c r="H44" s="28"/>
      <c r="I44" s="28"/>
      <c r="J44" s="28"/>
      <c r="K44" s="28"/>
      <c r="L44" s="28"/>
    </row>
    <row r="45" spans="1:12" s="5" customFormat="1" ht="12" x14ac:dyDescent="0.2">
      <c r="A45" s="47" t="s">
        <v>10</v>
      </c>
      <c r="B45" s="24">
        <f>SUM(B43:B44)</f>
        <v>0</v>
      </c>
      <c r="C45" s="24">
        <f>SUM(C43:C44)</f>
        <v>0</v>
      </c>
      <c r="D45" s="24"/>
      <c r="E45" s="57">
        <f>SUM(B45,C45)</f>
        <v>0</v>
      </c>
      <c r="F45" s="36"/>
      <c r="G45" s="36"/>
      <c r="H45" s="36"/>
      <c r="I45" s="36"/>
      <c r="J45" s="36"/>
      <c r="K45" s="36"/>
      <c r="L45" s="36"/>
    </row>
    <row r="46" spans="1:12" s="3" customFormat="1" ht="12" x14ac:dyDescent="0.2">
      <c r="A46" s="59" t="s">
        <v>34</v>
      </c>
      <c r="B46" s="34">
        <f>IF(B45&gt;25000,25000,B45)</f>
        <v>0</v>
      </c>
      <c r="C46" s="34">
        <f>IF((B45+C45)&lt;25000,C45,IF((25000-B45)&lt;0,0,25000-B45))</f>
        <v>0</v>
      </c>
      <c r="D46" s="28"/>
      <c r="E46" s="33"/>
      <c r="F46" s="28"/>
      <c r="G46" s="28"/>
      <c r="H46" s="28"/>
      <c r="I46" s="28"/>
      <c r="J46" s="28"/>
      <c r="K46" s="28"/>
      <c r="L46" s="28"/>
    </row>
    <row r="48" spans="1:12" s="28" customFormat="1" ht="12" x14ac:dyDescent="0.2">
      <c r="A48" s="25" t="s">
        <v>48</v>
      </c>
      <c r="B48" s="26">
        <f>SUM(B10,B19,B28,B37,B46)</f>
        <v>0</v>
      </c>
      <c r="C48" s="26">
        <f>SUM(C10,C19,C28,C37,C46)</f>
        <v>0</v>
      </c>
      <c r="D48" s="27"/>
      <c r="E48" s="26">
        <f>SUM(B48:C48)</f>
        <v>0</v>
      </c>
    </row>
    <row r="49" spans="1:5" x14ac:dyDescent="0.2">
      <c r="A49" s="31" t="s">
        <v>49</v>
      </c>
      <c r="B49" s="24">
        <f>SUM(B9,B18,B27,B36,B45)-B48</f>
        <v>0</v>
      </c>
      <c r="C49" s="24">
        <f>SUM(C9,C18,C27,C36,C45)-C48</f>
        <v>0</v>
      </c>
      <c r="D49" s="29"/>
      <c r="E49" s="57">
        <f>SUM(B49:C49)</f>
        <v>0</v>
      </c>
    </row>
    <row r="50" spans="1:5" x14ac:dyDescent="0.2">
      <c r="A50" s="48" t="s">
        <v>52</v>
      </c>
      <c r="B50" s="30">
        <f t="shared" ref="B50:C52" si="0">SUM(B7,B16,B25,B34,B43)</f>
        <v>0</v>
      </c>
      <c r="C50" s="30">
        <f t="shared" si="0"/>
        <v>0</v>
      </c>
      <c r="E50" s="60">
        <f>SUM(B50:C50)</f>
        <v>0</v>
      </c>
    </row>
    <row r="51" spans="1:5" x14ac:dyDescent="0.2">
      <c r="A51" s="48" t="s">
        <v>51</v>
      </c>
      <c r="B51" s="30">
        <f t="shared" si="0"/>
        <v>0</v>
      </c>
      <c r="C51" s="30">
        <f t="shared" si="0"/>
        <v>0</v>
      </c>
      <c r="E51" s="60">
        <f>SUM(B51:C51)</f>
        <v>0</v>
      </c>
    </row>
    <row r="52" spans="1:5" x14ac:dyDescent="0.2">
      <c r="A52" s="25" t="s">
        <v>158</v>
      </c>
      <c r="B52" s="26">
        <f t="shared" si="0"/>
        <v>0</v>
      </c>
      <c r="C52" s="26">
        <f t="shared" si="0"/>
        <v>0</v>
      </c>
      <c r="D52" s="27"/>
      <c r="E52" s="26">
        <f>SUM(B52:C52)</f>
        <v>0</v>
      </c>
    </row>
  </sheetData>
  <mergeCells count="16">
    <mergeCell ref="A2:E2"/>
    <mergeCell ref="B40:E40"/>
    <mergeCell ref="B41:E41"/>
    <mergeCell ref="B23:E23"/>
    <mergeCell ref="B31:E31"/>
    <mergeCell ref="B32:E32"/>
    <mergeCell ref="A3:E3"/>
    <mergeCell ref="A39:E39"/>
    <mergeCell ref="A12:E12"/>
    <mergeCell ref="A21:E21"/>
    <mergeCell ref="A30:E30"/>
    <mergeCell ref="B4:E4"/>
    <mergeCell ref="B5:E5"/>
    <mergeCell ref="B13:E13"/>
    <mergeCell ref="B14:E14"/>
    <mergeCell ref="B22:E22"/>
  </mergeCells>
  <phoneticPr fontId="2" type="noConversion"/>
  <dataValidations count="18">
    <dataValidation allowBlank="1" showErrorMessage="1" promptTitle="Subcontactor indirect costs" prompt="fill in the indirect costs the subcontractee is charging for each year of the project." sqref="B8:C8 B17:C17 B26:C26 B35:C35 B44:C44"/>
    <dataValidation allowBlank="1" showInputMessage="1" showErrorMessage="1" promptTitle="Annual F/A inclusion totals" prompt="Annual total of all subcontract costs that will be included in UL's indirect costs." sqref="B48:C48"/>
    <dataValidation allowBlank="1" showInputMessage="1" showErrorMessage="1" promptTitle="Total F/A inclusion" prompt="Total of all subcontract costs that will be included in UL's indirect costs." sqref="E48"/>
    <dataValidation allowBlank="1" showInputMessage="1" showErrorMessage="1" promptTitle="Annual F/A exclusions" prompt="Annual total of all subcontract costs that will be excluded from UL's indirect costs (exceed $25,000)." sqref="B49:C49"/>
    <dataValidation allowBlank="1" showInputMessage="1" showErrorMessage="1" promptTitle="Total F/A exclusions" prompt="Total of all subcontract costs that will be excluded from UL's indirect costs (exceed $25,000) for this project." sqref="E49"/>
    <dataValidation allowBlank="1" showInputMessage="1" showErrorMessage="1" promptTitle="Annual direct costs" prompt="Annual total of all direct costs charged by all subcontractors." sqref="B50:C50"/>
    <dataValidation allowBlank="1" showInputMessage="1" showErrorMessage="1" promptTitle="Annual indirect costs totals" prompt="Annual total of all indirect costs charged by all subcontractors." sqref="B51:C51"/>
    <dataValidation allowBlank="1" showInputMessage="1" showErrorMessage="1" promptTitle="Annual total subcontractor costs" prompt="Annual total of both direct and indirect costs for all subcontractors." sqref="B52:C52"/>
    <dataValidation allowBlank="1" showInputMessage="1" showErrorMessage="1" promptTitle="Total direct costs" prompt="Total of all subcontractor direct costs for the entire project." sqref="E50"/>
    <dataValidation allowBlank="1" showInputMessage="1" showErrorMessage="1" promptTitle="Total indirect costs" prompt="Total of all subcontractor indirect costs for the entire project." sqref="E51"/>
    <dataValidation allowBlank="1" showInputMessage="1" showErrorMessage="1" promptTitle="Total subcontractors contacts" prompt="Total of both direct and indirect costs for all subcontractors for the entire project period." sqref="E52"/>
    <dataValidation allowBlank="1" showErrorMessage="1" promptTitle="Annual direct costs" prompt="fill in the direct costs the subcontractee is charging for each year of the project." sqref="B34:C34 B7:C7 B16:C16 B25:C25 B43:C43"/>
    <dataValidation allowBlank="1" showErrorMessage="1" promptTitle="Subcontractor annual costs" prompt="Automatically totals the direct and indirect costs for each year." sqref="B9:C9 B18:C18 B27:C27 B36:C36 B45:C45"/>
    <dataValidation allowBlank="1" showErrorMessage="1" promptTitle="F/A amounts included" prompt="The amount of this year's budget that will be included in UL's indirect costs (&lt;$25,000)." sqref="B10:C10 B19:C19 B28:C28 B37:C37 B46:C46"/>
    <dataValidation allowBlank="1" showErrorMessage="1" promptTitle="Project direct costs" prompt="Total direct costs charged by this sponsor for the entire project period." sqref="E7 E16 E25 E34 E43"/>
    <dataValidation allowBlank="1" showErrorMessage="1" promptTitle="Subcontractor total project cost" prompt="Total amount of direct and indirect costs that this subcontractor is charging for the entire project period." sqref="E9 E18 E27 E36 E45"/>
    <dataValidation allowBlank="1" showErrorMessage="1" promptTitle="Institution" prompt="fill in the name of the institution you will be subcontracting to (e.g., Brown University)." sqref="B40:E40 B31:E31 B22:E22 B13:E13 B4:E4"/>
    <dataValidation allowBlank="1" showErrorMessage="1" promptTitle="Principal Investigator" prompt="fill in the name of the PI at this subcontract site (e.g., Chris Meloni)." sqref="B41:E41 B32:E32 B23:E23 B14:E14 B5:E5"/>
  </dataValidations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S36"/>
  <sheetViews>
    <sheetView workbookViewId="0">
      <selection activeCell="K7" sqref="K7"/>
    </sheetView>
  </sheetViews>
  <sheetFormatPr defaultRowHeight="12.75" x14ac:dyDescent="0.2"/>
  <cols>
    <col min="1" max="2" width="10.7109375" customWidth="1"/>
    <col min="3" max="3" width="16.5703125" customWidth="1"/>
    <col min="4" max="4" width="19.5703125" bestFit="1" customWidth="1"/>
    <col min="5" max="5" width="19.85546875" bestFit="1" customWidth="1"/>
    <col min="6" max="6" width="15.7109375" customWidth="1"/>
    <col min="9" max="9" width="10.140625" bestFit="1" customWidth="1"/>
    <col min="11" max="11" width="28.140625" bestFit="1" customWidth="1"/>
    <col min="12" max="12" width="35" bestFit="1" customWidth="1"/>
  </cols>
  <sheetData>
    <row r="2" spans="1:19" s="51" customFormat="1" ht="15.75" x14ac:dyDescent="0.25">
      <c r="A2" s="160" t="s">
        <v>89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4" spans="1:19" ht="15" x14ac:dyDescent="0.25">
      <c r="A4" s="171" t="s">
        <v>90</v>
      </c>
      <c r="B4" s="172"/>
      <c r="C4" s="172"/>
      <c r="D4" s="172"/>
      <c r="E4" s="172"/>
      <c r="F4" s="173"/>
      <c r="K4" s="129" t="s">
        <v>186</v>
      </c>
      <c r="L4" s="130" t="s">
        <v>187</v>
      </c>
    </row>
    <row r="5" spans="1:19" x14ac:dyDescent="0.2">
      <c r="A5" s="174" t="s">
        <v>91</v>
      </c>
      <c r="B5" s="174"/>
      <c r="C5" s="174"/>
      <c r="D5" s="175">
        <f>'MAIN SHEET'!B4</f>
        <v>0</v>
      </c>
      <c r="E5" s="175"/>
      <c r="F5" s="175"/>
      <c r="K5" s="129" t="s">
        <v>188</v>
      </c>
      <c r="L5" s="131">
        <v>42123</v>
      </c>
    </row>
    <row r="6" spans="1:19" x14ac:dyDescent="0.2">
      <c r="A6" s="174" t="s">
        <v>92</v>
      </c>
      <c r="B6" s="174"/>
      <c r="C6" s="174"/>
      <c r="D6" s="176" t="str">
        <f>TEXT('MAIN SHEET'!B5, "mm/dd/yyyy")&amp;" - "&amp;TEXT('MAIN SHEET'!B6, "mm/dd/yyyy")</f>
        <v>12/01/2018 - 11/30/2020</v>
      </c>
      <c r="E6" s="176"/>
      <c r="F6" s="176"/>
    </row>
    <row r="7" spans="1:19" ht="15" x14ac:dyDescent="0.2">
      <c r="A7" s="174" t="s">
        <v>93</v>
      </c>
      <c r="B7" s="174"/>
      <c r="C7" s="174"/>
      <c r="D7" s="177">
        <f>'MAIN SHEET'!H99</f>
        <v>423500</v>
      </c>
      <c r="E7" s="177"/>
      <c r="F7" s="177"/>
      <c r="K7" s="136" t="s">
        <v>189</v>
      </c>
    </row>
    <row r="8" spans="1:19" x14ac:dyDescent="0.2">
      <c r="A8" s="174" t="s">
        <v>94</v>
      </c>
      <c r="B8" s="174"/>
      <c r="C8" s="174"/>
      <c r="D8" s="177">
        <f>D7</f>
        <v>423500</v>
      </c>
      <c r="E8" s="177"/>
      <c r="F8" s="177"/>
    </row>
    <row r="11" spans="1:19" x14ac:dyDescent="0.2">
      <c r="A11" s="171" t="s">
        <v>74</v>
      </c>
      <c r="B11" s="172"/>
      <c r="C11" s="172"/>
      <c r="D11" s="172"/>
      <c r="E11" s="172"/>
      <c r="F11" s="173"/>
    </row>
    <row r="12" spans="1:19" x14ac:dyDescent="0.2">
      <c r="A12" s="70" t="s">
        <v>64</v>
      </c>
      <c r="B12" s="70" t="s">
        <v>65</v>
      </c>
      <c r="F12" s="68" t="s">
        <v>76</v>
      </c>
    </row>
    <row r="13" spans="1:19" x14ac:dyDescent="0.2">
      <c r="A13" s="65">
        <f>'MAIN SHEET'!E8</f>
        <v>43435</v>
      </c>
      <c r="B13" s="65">
        <f>'MAIN SHEET'!E9</f>
        <v>43799</v>
      </c>
      <c r="C13" s="174" t="s">
        <v>75</v>
      </c>
      <c r="D13" s="174"/>
      <c r="E13" s="174"/>
      <c r="F13" s="66">
        <f>'MAIN SHEET'!E93-SUBCONTRACTS!B51</f>
        <v>150000</v>
      </c>
    </row>
    <row r="14" spans="1:19" x14ac:dyDescent="0.2">
      <c r="A14" s="174" t="s">
        <v>53</v>
      </c>
      <c r="B14" s="174"/>
      <c r="C14" s="174"/>
      <c r="D14" s="174"/>
      <c r="E14" s="174"/>
      <c r="F14" s="66">
        <f>SUBCONTRACTS!B51</f>
        <v>0</v>
      </c>
      <c r="I14" s="1"/>
    </row>
    <row r="15" spans="1:19" x14ac:dyDescent="0.2">
      <c r="A15" s="174" t="s">
        <v>77</v>
      </c>
      <c r="B15" s="174"/>
      <c r="C15" s="174"/>
      <c r="D15" s="174"/>
      <c r="E15" s="174"/>
      <c r="F15" s="66">
        <f>SUM(F13:F14)</f>
        <v>150000</v>
      </c>
    </row>
    <row r="17" spans="1:11" x14ac:dyDescent="0.2">
      <c r="C17" s="69" t="s">
        <v>78</v>
      </c>
      <c r="D17" s="69" t="s">
        <v>79</v>
      </c>
      <c r="E17" s="69" t="s">
        <v>80</v>
      </c>
      <c r="F17" s="69" t="s">
        <v>76</v>
      </c>
      <c r="H17" s="159" t="s">
        <v>185</v>
      </c>
      <c r="I17" s="159"/>
      <c r="J17" s="159"/>
      <c r="K17" s="159"/>
    </row>
    <row r="18" spans="1:11" x14ac:dyDescent="0.2">
      <c r="C18" s="64" t="s">
        <v>81</v>
      </c>
      <c r="D18" s="67">
        <f>IF(OR(A13=H18,A13=H19,A13=H20),0.53,0.54)</f>
        <v>0.54</v>
      </c>
      <c r="E18" s="135">
        <f>IF(A13=H18,'MAIN SHEET'!E95*J18,IF(A13=H19,'MAIN SHEET'!E95*J19,IF(A13=H20,'MAIN SHEET'!E95*J20,'MAIN SHEET'!E95)))</f>
        <v>150000</v>
      </c>
      <c r="F18" s="66">
        <f>D18*E18</f>
        <v>81000</v>
      </c>
      <c r="H18" s="127">
        <v>42461</v>
      </c>
      <c r="I18" s="128">
        <f>(0.25*0.53)+(0.75*0.54)</f>
        <v>0.53750000000000009</v>
      </c>
      <c r="J18" s="132">
        <f>3/12</f>
        <v>0.25</v>
      </c>
      <c r="K18" s="133">
        <f>1-J18</f>
        <v>0.75</v>
      </c>
    </row>
    <row r="19" spans="1:11" x14ac:dyDescent="0.2">
      <c r="C19" s="114" t="str">
        <f>IF(OR(A13=H18,A13=H19,A13=H20),"MTDC","")</f>
        <v/>
      </c>
      <c r="D19" s="67" t="str">
        <f>IF(OR(A13=H18,A13=H19,A13=H20),0.54,"")</f>
        <v/>
      </c>
      <c r="E19" s="66">
        <f>IF(A13=H18,'MAIN SHEET'!E95*K18,IF(A13=H19,'MAIN SHEET'!E95*K19,IF(A13=H20,'MAIN SHEET'!E95*(K20),0)))</f>
        <v>0</v>
      </c>
      <c r="F19" s="66">
        <f>IF(E19=0,0,E19*D19)</f>
        <v>0</v>
      </c>
      <c r="H19" s="127">
        <v>42491</v>
      </c>
      <c r="I19" s="128">
        <f>((2/12)*0.53)+((10/12)*0.54)</f>
        <v>0.53833333333333344</v>
      </c>
      <c r="J19" s="63">
        <f>2/12</f>
        <v>0.16666666666666666</v>
      </c>
      <c r="K19" s="133">
        <f t="shared" ref="K19:K20" si="0">1-J19</f>
        <v>0.83333333333333337</v>
      </c>
    </row>
    <row r="20" spans="1:11" x14ac:dyDescent="0.2">
      <c r="E20" s="115"/>
      <c r="F20" s="115"/>
      <c r="H20" s="127">
        <v>42522</v>
      </c>
      <c r="I20" s="128">
        <f>((1/12)*0.53)+((11/12)*0.54)</f>
        <v>0.53916666666666668</v>
      </c>
      <c r="J20" s="63">
        <f>1/12</f>
        <v>8.3333333333333329E-2</v>
      </c>
      <c r="K20" s="133">
        <f t="shared" si="0"/>
        <v>0.91666666666666663</v>
      </c>
    </row>
    <row r="21" spans="1:11" x14ac:dyDescent="0.2">
      <c r="A21" s="171" t="s">
        <v>82</v>
      </c>
      <c r="B21" s="172"/>
      <c r="C21" s="172"/>
      <c r="D21" s="172"/>
      <c r="E21" s="172"/>
      <c r="F21" s="173"/>
      <c r="H21" s="127">
        <v>42552</v>
      </c>
      <c r="I21" s="128">
        <v>0.54</v>
      </c>
      <c r="J21" s="134"/>
      <c r="K21" s="63"/>
    </row>
    <row r="22" spans="1:11" x14ac:dyDescent="0.2">
      <c r="A22" s="70" t="s">
        <v>64</v>
      </c>
      <c r="B22" s="70" t="s">
        <v>65</v>
      </c>
      <c r="F22" s="68" t="s">
        <v>76</v>
      </c>
    </row>
    <row r="23" spans="1:11" x14ac:dyDescent="0.2">
      <c r="A23" s="65">
        <f>'MAIN SHEET'!F8</f>
        <v>43800</v>
      </c>
      <c r="B23" s="65">
        <f>'MAIN SHEET'!F9</f>
        <v>44165</v>
      </c>
      <c r="C23" s="174" t="s">
        <v>75</v>
      </c>
      <c r="D23" s="174"/>
      <c r="E23" s="174"/>
      <c r="F23" s="66">
        <f>'MAIN SHEET'!F93-SUBCONTRACTS!C51</f>
        <v>125000</v>
      </c>
    </row>
    <row r="24" spans="1:11" x14ac:dyDescent="0.2">
      <c r="A24" s="174" t="s">
        <v>53</v>
      </c>
      <c r="B24" s="174"/>
      <c r="C24" s="174"/>
      <c r="D24" s="174"/>
      <c r="E24" s="174"/>
      <c r="F24" s="66">
        <f>SUBCONTRACTS!C51</f>
        <v>0</v>
      </c>
    </row>
    <row r="25" spans="1:11" x14ac:dyDescent="0.2">
      <c r="A25" s="174" t="s">
        <v>77</v>
      </c>
      <c r="B25" s="174"/>
      <c r="C25" s="174"/>
      <c r="D25" s="174"/>
      <c r="E25" s="174"/>
      <c r="F25" s="66">
        <f>SUM(F23:F24)</f>
        <v>125000</v>
      </c>
    </row>
    <row r="27" spans="1:11" x14ac:dyDescent="0.2">
      <c r="C27" s="69" t="s">
        <v>78</v>
      </c>
      <c r="D27" s="69" t="s">
        <v>79</v>
      </c>
      <c r="E27" s="69" t="s">
        <v>80</v>
      </c>
      <c r="F27" s="69" t="s">
        <v>76</v>
      </c>
    </row>
    <row r="28" spans="1:11" x14ac:dyDescent="0.2">
      <c r="C28" s="64" t="s">
        <v>81</v>
      </c>
      <c r="D28" s="67">
        <f>'MAIN SHEET'!F96</f>
        <v>0.54</v>
      </c>
      <c r="E28" s="66">
        <f>'MAIN SHEET'!F95</f>
        <v>125000</v>
      </c>
      <c r="F28" s="66">
        <f>'MAIN SHEET'!F97</f>
        <v>67500</v>
      </c>
    </row>
    <row r="29" spans="1:11" x14ac:dyDescent="0.2">
      <c r="C29" s="63"/>
      <c r="D29" s="67"/>
      <c r="E29" s="66"/>
      <c r="F29" s="66"/>
    </row>
    <row r="31" spans="1:11" x14ac:dyDescent="0.2">
      <c r="A31" s="171" t="s">
        <v>83</v>
      </c>
      <c r="B31" s="172"/>
      <c r="C31" s="172"/>
      <c r="D31" s="172"/>
      <c r="E31" s="172"/>
      <c r="F31" s="173"/>
    </row>
    <row r="32" spans="1:11" x14ac:dyDescent="0.2">
      <c r="A32" s="170" t="s">
        <v>84</v>
      </c>
      <c r="B32" s="170"/>
      <c r="C32" s="170"/>
      <c r="D32" s="170"/>
      <c r="E32" s="170"/>
      <c r="F32" s="66">
        <f>'MAIN SHEET'!H93-SUBCONTRACTS!E51</f>
        <v>275000</v>
      </c>
    </row>
    <row r="33" spans="1:6" x14ac:dyDescent="0.2">
      <c r="A33" s="170" t="s">
        <v>85</v>
      </c>
      <c r="B33" s="170"/>
      <c r="C33" s="170"/>
      <c r="D33" s="170"/>
      <c r="E33" s="170"/>
      <c r="F33" s="66">
        <f>SUBCONTRACTS!E51</f>
        <v>0</v>
      </c>
    </row>
    <row r="34" spans="1:6" x14ac:dyDescent="0.2">
      <c r="A34" s="170" t="s">
        <v>86</v>
      </c>
      <c r="B34" s="170"/>
      <c r="C34" s="170"/>
      <c r="D34" s="170"/>
      <c r="E34" s="170"/>
      <c r="F34" s="66">
        <f>'MAIN SHEET'!H93</f>
        <v>275000</v>
      </c>
    </row>
    <row r="35" spans="1:6" x14ac:dyDescent="0.2">
      <c r="A35" s="170" t="s">
        <v>87</v>
      </c>
      <c r="B35" s="170"/>
      <c r="C35" s="170"/>
      <c r="D35" s="170"/>
      <c r="E35" s="170"/>
      <c r="F35" s="66">
        <f>'MAIN SHEET'!H97</f>
        <v>148500</v>
      </c>
    </row>
    <row r="36" spans="1:6" x14ac:dyDescent="0.2">
      <c r="A36" s="170" t="s">
        <v>88</v>
      </c>
      <c r="B36" s="170"/>
      <c r="C36" s="170"/>
      <c r="D36" s="170"/>
      <c r="E36" s="170"/>
      <c r="F36" s="66">
        <f>'MAIN SHEET'!H99</f>
        <v>423500</v>
      </c>
    </row>
  </sheetData>
  <mergeCells count="25">
    <mergeCell ref="C23:E23"/>
    <mergeCell ref="A24:E24"/>
    <mergeCell ref="A2:S2"/>
    <mergeCell ref="C13:E13"/>
    <mergeCell ref="A11:F11"/>
    <mergeCell ref="A14:E14"/>
    <mergeCell ref="D7:F7"/>
    <mergeCell ref="D8:F8"/>
    <mergeCell ref="H17:K17"/>
    <mergeCell ref="A34:E34"/>
    <mergeCell ref="A35:E35"/>
    <mergeCell ref="A36:E36"/>
    <mergeCell ref="A4:F4"/>
    <mergeCell ref="A5:C5"/>
    <mergeCell ref="A6:C6"/>
    <mergeCell ref="A7:C7"/>
    <mergeCell ref="A8:C8"/>
    <mergeCell ref="D5:F5"/>
    <mergeCell ref="D6:F6"/>
    <mergeCell ref="A31:F31"/>
    <mergeCell ref="A32:E32"/>
    <mergeCell ref="A33:E33"/>
    <mergeCell ref="A25:E25"/>
    <mergeCell ref="A15:E15"/>
    <mergeCell ref="A21:F21"/>
  </mergeCells>
  <phoneticPr fontId="2" type="noConversion"/>
  <pageMargins left="0.25" right="0.25" top="0.25" bottom="0.25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2:K30"/>
  <sheetViews>
    <sheetView workbookViewId="0">
      <selection activeCell="A2" sqref="A2:K14"/>
    </sheetView>
  </sheetViews>
  <sheetFormatPr defaultRowHeight="12.75" x14ac:dyDescent="0.2"/>
  <cols>
    <col min="1" max="1" width="28.85546875" bestFit="1" customWidth="1"/>
    <col min="2" max="4" width="12.7109375" customWidth="1"/>
    <col min="11" max="11" width="12.7109375" customWidth="1"/>
  </cols>
  <sheetData>
    <row r="2" spans="1:11" ht="15" x14ac:dyDescent="0.25">
      <c r="A2" s="178" t="s">
        <v>166</v>
      </c>
      <c r="B2" s="178"/>
      <c r="C2" s="178"/>
      <c r="D2" s="178"/>
    </row>
    <row r="3" spans="1:11" ht="15" x14ac:dyDescent="0.25">
      <c r="A3" s="178"/>
      <c r="B3" s="178"/>
      <c r="C3" s="178"/>
      <c r="D3" s="178"/>
    </row>
    <row r="4" spans="1:11" ht="14.25" x14ac:dyDescent="0.2">
      <c r="A4" s="179" t="s">
        <v>167</v>
      </c>
      <c r="B4" s="179"/>
      <c r="C4" s="179"/>
      <c r="D4" s="179"/>
    </row>
    <row r="5" spans="1:11" ht="15" x14ac:dyDescent="0.25">
      <c r="A5" s="120"/>
      <c r="B5" s="121" t="s">
        <v>4</v>
      </c>
      <c r="C5" s="121" t="s">
        <v>5</v>
      </c>
      <c r="D5" s="121" t="s">
        <v>168</v>
      </c>
    </row>
    <row r="6" spans="1:11" ht="15" x14ac:dyDescent="0.25">
      <c r="A6" s="122" t="s">
        <v>169</v>
      </c>
      <c r="B6" s="123">
        <f>'MAIN SHEET'!E41</f>
        <v>0</v>
      </c>
      <c r="C6" s="123">
        <f>'MAIN SHEET'!F41</f>
        <v>0</v>
      </c>
      <c r="D6" s="124">
        <f t="shared" ref="D6:D12" si="0">SUM(B6:C6)</f>
        <v>0</v>
      </c>
    </row>
    <row r="7" spans="1:11" ht="15" x14ac:dyDescent="0.25">
      <c r="A7" s="122" t="s">
        <v>38</v>
      </c>
      <c r="B7" s="123">
        <f>'MAIN SHEET'!E54</f>
        <v>0</v>
      </c>
      <c r="C7" s="123">
        <f>'MAIN SHEET'!F54</f>
        <v>0</v>
      </c>
      <c r="D7" s="124">
        <f t="shared" si="0"/>
        <v>0</v>
      </c>
    </row>
    <row r="8" spans="1:11" ht="15" x14ac:dyDescent="0.25">
      <c r="A8" s="122" t="s">
        <v>170</v>
      </c>
      <c r="B8" s="123">
        <f>'MAIN SHEET'!E58</f>
        <v>0</v>
      </c>
      <c r="C8" s="123">
        <f>'MAIN SHEET'!F58</f>
        <v>0</v>
      </c>
      <c r="D8" s="124">
        <f t="shared" si="0"/>
        <v>0</v>
      </c>
    </row>
    <row r="9" spans="1:11" ht="15" x14ac:dyDescent="0.25">
      <c r="A9" s="122" t="s">
        <v>171</v>
      </c>
      <c r="B9" s="123">
        <f>'MAIN SHEET'!E50</f>
        <v>0</v>
      </c>
      <c r="C9" s="123">
        <f>'MAIN SHEET'!F50</f>
        <v>0</v>
      </c>
      <c r="D9" s="124">
        <f t="shared" si="0"/>
        <v>0</v>
      </c>
    </row>
    <row r="10" spans="1:11" ht="15" x14ac:dyDescent="0.25">
      <c r="A10" s="122" t="s">
        <v>172</v>
      </c>
      <c r="B10" s="123">
        <f>SUBCONTRACTS!B49</f>
        <v>0</v>
      </c>
      <c r="C10" s="123">
        <f>SUBCONTRACTS!C49</f>
        <v>0</v>
      </c>
      <c r="D10" s="124">
        <f t="shared" si="0"/>
        <v>0</v>
      </c>
    </row>
    <row r="11" spans="1:11" ht="15" x14ac:dyDescent="0.25">
      <c r="A11" s="122" t="s">
        <v>20</v>
      </c>
      <c r="B11" s="123">
        <f>'MAIN SHEET'!E74</f>
        <v>0</v>
      </c>
      <c r="C11" s="123">
        <f>'MAIN SHEET'!F74</f>
        <v>0</v>
      </c>
      <c r="D11" s="124">
        <f t="shared" si="0"/>
        <v>0</v>
      </c>
    </row>
    <row r="12" spans="1:11" ht="15" x14ac:dyDescent="0.25">
      <c r="A12" s="125" t="s">
        <v>46</v>
      </c>
      <c r="B12" s="124">
        <f>SUM(B6:B11)</f>
        <v>0</v>
      </c>
      <c r="C12" s="124">
        <f>SUM(C6:C11)</f>
        <v>0</v>
      </c>
      <c r="D12" s="124">
        <f t="shared" si="0"/>
        <v>0</v>
      </c>
    </row>
    <row r="13" spans="1:11" ht="14.25" x14ac:dyDescent="0.2">
      <c r="A13" s="120"/>
      <c r="B13" s="120"/>
      <c r="C13" s="120"/>
      <c r="D13" s="120"/>
    </row>
    <row r="14" spans="1:11" ht="15" x14ac:dyDescent="0.25">
      <c r="A14" s="119" t="s">
        <v>175</v>
      </c>
      <c r="B14" s="179" t="s">
        <v>184</v>
      </c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1" ht="14.25" x14ac:dyDescent="0.2">
      <c r="A15" s="120"/>
      <c r="B15" s="120"/>
      <c r="C15" s="120"/>
      <c r="D15" s="120"/>
    </row>
    <row r="17" spans="1:4" ht="14.25" x14ac:dyDescent="0.2">
      <c r="A17" s="120"/>
      <c r="B17" s="120"/>
      <c r="C17" s="120"/>
      <c r="D17" s="120"/>
    </row>
    <row r="18" spans="1:4" ht="14.25" x14ac:dyDescent="0.2">
      <c r="A18" s="120"/>
      <c r="B18" s="120"/>
      <c r="C18" s="120"/>
      <c r="D18" s="120"/>
    </row>
    <row r="19" spans="1:4" ht="15" x14ac:dyDescent="0.25">
      <c r="A19" s="119" t="s">
        <v>173</v>
      </c>
      <c r="B19" s="120"/>
      <c r="C19" s="120"/>
      <c r="D19" s="120"/>
    </row>
    <row r="20" spans="1:4" ht="15" x14ac:dyDescent="0.25">
      <c r="A20" s="120" t="s">
        <v>176</v>
      </c>
      <c r="B20" s="120"/>
      <c r="C20" s="120"/>
      <c r="D20" s="120"/>
    </row>
    <row r="21" spans="1:4" ht="14.25" x14ac:dyDescent="0.2">
      <c r="A21" s="120" t="s">
        <v>177</v>
      </c>
      <c r="B21" s="120"/>
      <c r="C21" s="120"/>
      <c r="D21" s="120"/>
    </row>
    <row r="22" spans="1:4" ht="15" x14ac:dyDescent="0.25">
      <c r="A22" s="120" t="s">
        <v>178</v>
      </c>
      <c r="B22" s="120"/>
      <c r="C22" s="120"/>
      <c r="D22" s="120"/>
    </row>
    <row r="23" spans="1:4" ht="14.25" x14ac:dyDescent="0.2">
      <c r="A23" s="120" t="s">
        <v>179</v>
      </c>
      <c r="B23" s="120"/>
      <c r="C23" s="120"/>
      <c r="D23" s="120"/>
    </row>
    <row r="24" spans="1:4" ht="15" x14ac:dyDescent="0.25">
      <c r="A24" s="120" t="s">
        <v>180</v>
      </c>
      <c r="B24" s="120"/>
      <c r="C24" s="120"/>
      <c r="D24" s="120"/>
    </row>
    <row r="25" spans="1:4" ht="14.25" x14ac:dyDescent="0.2">
      <c r="A25" s="120" t="s">
        <v>181</v>
      </c>
      <c r="B25" s="120"/>
      <c r="C25" s="120"/>
      <c r="D25" s="120"/>
    </row>
    <row r="26" spans="1:4" ht="14.25" x14ac:dyDescent="0.2">
      <c r="B26" s="120"/>
      <c r="C26" s="120"/>
      <c r="D26" s="120"/>
    </row>
    <row r="27" spans="1:4" ht="15" x14ac:dyDescent="0.25">
      <c r="A27" s="119" t="s">
        <v>174</v>
      </c>
      <c r="B27" s="120"/>
      <c r="C27" s="120"/>
      <c r="D27" s="120"/>
    </row>
    <row r="28" spans="1:4" ht="15" x14ac:dyDescent="0.25">
      <c r="A28" s="120" t="s">
        <v>176</v>
      </c>
      <c r="B28" s="120"/>
      <c r="C28" s="120"/>
      <c r="D28" s="120"/>
    </row>
    <row r="29" spans="1:4" ht="14.25" x14ac:dyDescent="0.2">
      <c r="A29" s="126" t="s">
        <v>182</v>
      </c>
      <c r="B29" s="120"/>
      <c r="C29" s="120"/>
      <c r="D29" s="120"/>
    </row>
    <row r="30" spans="1:4" x14ac:dyDescent="0.2">
      <c r="A30" s="126" t="s">
        <v>183</v>
      </c>
    </row>
  </sheetData>
  <mergeCells count="4">
    <mergeCell ref="A2:D2"/>
    <mergeCell ref="A3:D3"/>
    <mergeCell ref="A4:D4"/>
    <mergeCell ref="B14:K14"/>
  </mergeCells>
  <pageMargins left="0.7" right="0.7" top="0.75" bottom="0.75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Button 9">
              <controlPr defaultSize="0" print="0" autoFill="0" autoPict="0" macro="[0]!HighlightCells">
                <anchor moveWithCells="1" sizeWithCells="1">
                  <from>
                    <xdr:col>0</xdr:col>
                    <xdr:colOff>28575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Q47"/>
  <sheetViews>
    <sheetView workbookViewId="0">
      <selection activeCell="E40" sqref="E40"/>
    </sheetView>
  </sheetViews>
  <sheetFormatPr defaultRowHeight="11.25" x14ac:dyDescent="0.2"/>
  <cols>
    <col min="1" max="1" width="51.85546875" style="22" customWidth="1"/>
    <col min="2" max="2" width="10.140625" style="22" bestFit="1" customWidth="1"/>
    <col min="3" max="3" width="2.42578125" style="22" customWidth="1"/>
    <col min="4" max="4" width="24.140625" style="22" customWidth="1"/>
    <col min="5" max="5" width="14.140625" style="22" customWidth="1"/>
    <col min="6" max="6" width="15.7109375" style="22" customWidth="1"/>
    <col min="7" max="16384" width="9.140625" style="22"/>
  </cols>
  <sheetData>
    <row r="2" spans="1:17" ht="15.75" x14ac:dyDescent="0.25">
      <c r="A2" s="160" t="s">
        <v>96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4" spans="1:17" ht="12" x14ac:dyDescent="0.2">
      <c r="A4" s="182" t="s">
        <v>97</v>
      </c>
      <c r="B4" s="183"/>
      <c r="C4" s="183"/>
      <c r="D4" s="183"/>
      <c r="E4" s="183"/>
      <c r="F4" s="183"/>
    </row>
    <row r="5" spans="1:17" ht="12" x14ac:dyDescent="0.2">
      <c r="A5" s="3" t="str">
        <f>TEXT('MAIN SHEET'!B5, "mm/dd/yyyy")&amp;" - "&amp;TEXT('MAIN SHEET'!B6, "mm/dd/yyyy")</f>
        <v>12/01/2018 - 11/30/2020</v>
      </c>
      <c r="B5" s="3"/>
      <c r="C5" s="3"/>
      <c r="D5" s="3"/>
      <c r="E5" s="3"/>
    </row>
    <row r="7" spans="1:17" s="23" customFormat="1" ht="12" x14ac:dyDescent="0.2">
      <c r="A7" s="50" t="s">
        <v>98</v>
      </c>
      <c r="B7" s="50"/>
      <c r="C7" s="76"/>
      <c r="D7" s="180" t="s">
        <v>99</v>
      </c>
      <c r="E7" s="181"/>
      <c r="F7" s="77" t="s">
        <v>50</v>
      </c>
      <c r="G7" s="5"/>
      <c r="H7" s="5"/>
      <c r="I7" s="5"/>
    </row>
    <row r="8" spans="1:17" ht="12" x14ac:dyDescent="0.2">
      <c r="A8" s="8" t="s">
        <v>29</v>
      </c>
      <c r="B8" s="72">
        <f>'MAIN SHEET'!H21</f>
        <v>0</v>
      </c>
      <c r="C8" s="3"/>
      <c r="D8" s="73" t="s">
        <v>29</v>
      </c>
      <c r="E8" s="74">
        <f>'MAIN SHEET'!O21</f>
        <v>0</v>
      </c>
      <c r="F8" s="61" t="str">
        <f>IF(ISBLANK('MAIN SHEET'!P11),"",CONCATENATE('MAIN SHEET'!P11&amp;" ("&amp;'MAIN SHEET'!K11&amp;") ")
&amp;IF(ISBLANK('MAIN SHEET'!P12),"",CONCATENATE(", "&amp;'MAIN SHEET'!P12&amp;" ("&amp;'MAIN SHEET'!K12&amp;") "))
&amp;IF(ISBLANK('MAIN SHEET'!P13),"",CONCATENATE(", "&amp;'MAIN SHEET'!P13&amp;" ("&amp;'MAIN SHEET'!K13&amp;") "))
&amp;IF(ISBLANK('MAIN SHEET'!P14),"",CONCATENATE(", "&amp;'MAIN SHEET'!P14&amp;" ("&amp;'MAIN SHEET'!K14&amp;") "))
&amp;IF(ISBLANK('MAIN SHEET'!P15),"",CONCATENATE(", "&amp;'MAIN SHEET'!P15&amp;" ("&amp;'MAIN SHEET'!K15&amp;") "))
&amp;IF(ISBLANK('MAIN SHEET'!P16),"",CONCATENATE(", "&amp;'MAIN SHEET'!P16&amp;" ("&amp;'MAIN SHEET'!K16&amp;") "))
&amp;IF(ISBLANK('MAIN SHEET'!P17),"",CONCATENATE(", "&amp;'MAIN SHEET'!P17&amp;" ("&amp;'MAIN SHEET'!K17&amp;") "))
&amp;IF(ISBLANK('MAIN SHEET'!P18),"",CONCATENATE(", "&amp;'MAIN SHEET'!P18&amp;" ("&amp;'MAIN SHEET'!K18&amp;") "))
&amp;IF(ISBLANK('MAIN SHEET'!P19),"",CONCATENATE(", "&amp;'MAIN SHEET'!P19&amp;" ("&amp;'MAIN SHEET'!K19&amp;") "))
&amp;IF(ISBLANK('MAIN SHEET'!P20),"",CONCATENATE(", "&amp;'MAIN SHEET'!P20&amp;" ("&amp;'MAIN SHEET'!K20&amp;") "))
)</f>
        <v/>
      </c>
      <c r="G8" s="3"/>
      <c r="H8" s="3"/>
      <c r="I8" s="3"/>
    </row>
    <row r="9" spans="1:17" ht="12" x14ac:dyDescent="0.2">
      <c r="A9" s="73" t="s">
        <v>11</v>
      </c>
      <c r="B9" s="75">
        <f>'MAIN SHEET'!H33</f>
        <v>0</v>
      </c>
      <c r="C9" s="3"/>
      <c r="D9" s="73" t="s">
        <v>11</v>
      </c>
      <c r="E9" s="74">
        <f>'MAIN SHEET'!O33</f>
        <v>0</v>
      </c>
      <c r="F9" s="61" t="str">
        <f>F8</f>
        <v/>
      </c>
      <c r="G9" s="3"/>
      <c r="H9" s="3"/>
      <c r="I9" s="3"/>
    </row>
    <row r="10" spans="1:17" ht="12" x14ac:dyDescent="0.2">
      <c r="A10" s="8" t="s">
        <v>37</v>
      </c>
      <c r="B10" s="72">
        <f>'MAIN SHEET'!H41</f>
        <v>0</v>
      </c>
      <c r="C10" s="3"/>
      <c r="D10" s="8" t="s">
        <v>37</v>
      </c>
      <c r="E10" s="74"/>
      <c r="F10" s="44"/>
      <c r="G10" s="3"/>
      <c r="H10" s="3"/>
      <c r="I10" s="3"/>
    </row>
    <row r="11" spans="1:17" ht="12" x14ac:dyDescent="0.2">
      <c r="A11" s="8" t="s">
        <v>38</v>
      </c>
      <c r="B11" s="72">
        <f>'MAIN SHEET'!H54</f>
        <v>0</v>
      </c>
      <c r="C11" s="3"/>
      <c r="D11" s="8" t="s">
        <v>38</v>
      </c>
      <c r="E11" s="74"/>
      <c r="F11" s="44"/>
      <c r="G11" s="3"/>
      <c r="H11" s="3"/>
      <c r="I11" s="3"/>
    </row>
    <row r="12" spans="1:17" ht="12" x14ac:dyDescent="0.2">
      <c r="A12" s="8" t="s">
        <v>17</v>
      </c>
      <c r="B12" s="72">
        <f>'MAIN SHEET'!H65</f>
        <v>0</v>
      </c>
      <c r="C12" s="3"/>
      <c r="D12" s="8" t="s">
        <v>17</v>
      </c>
      <c r="E12" s="74"/>
      <c r="F12" s="44"/>
      <c r="G12" s="3"/>
      <c r="H12" s="3"/>
      <c r="I12" s="3"/>
    </row>
    <row r="13" spans="1:17" ht="12" x14ac:dyDescent="0.2">
      <c r="A13" s="8" t="s">
        <v>30</v>
      </c>
      <c r="B13" s="72">
        <f>SUM('MAIN SHEET'!H44,'MAIN SHEET'!H50,'MAIN SHEET'!H58,'MAIN SHEET'!H80)</f>
        <v>275000</v>
      </c>
      <c r="C13" s="3"/>
      <c r="D13" s="8" t="s">
        <v>30</v>
      </c>
      <c r="E13" s="74"/>
      <c r="F13" s="44"/>
      <c r="G13" s="3"/>
      <c r="H13" s="3"/>
      <c r="I13" s="3"/>
    </row>
    <row r="14" spans="1:17" ht="12" x14ac:dyDescent="0.2">
      <c r="A14" s="8" t="s">
        <v>19</v>
      </c>
      <c r="B14" s="72">
        <f>'MAIN SHEET'!H71</f>
        <v>0</v>
      </c>
      <c r="C14" s="3"/>
      <c r="D14" s="8" t="s">
        <v>19</v>
      </c>
      <c r="E14" s="74"/>
      <c r="F14" s="44"/>
      <c r="G14" s="3"/>
      <c r="H14" s="3"/>
      <c r="I14" s="3"/>
    </row>
    <row r="15" spans="1:17" ht="12" x14ac:dyDescent="0.2">
      <c r="A15" s="8" t="s">
        <v>20</v>
      </c>
      <c r="B15" s="72">
        <f>'MAIN SHEET'!H74</f>
        <v>0</v>
      </c>
      <c r="C15" s="3"/>
      <c r="D15" s="8" t="s">
        <v>20</v>
      </c>
      <c r="E15" s="74"/>
      <c r="F15" s="44"/>
      <c r="G15" s="3"/>
      <c r="H15" s="3"/>
      <c r="I15" s="3"/>
    </row>
    <row r="16" spans="1:17" ht="12" x14ac:dyDescent="0.2">
      <c r="A16" s="39" t="s">
        <v>31</v>
      </c>
      <c r="B16" s="40">
        <f>SUM(B8:B15)</f>
        <v>275000</v>
      </c>
      <c r="C16" s="3"/>
      <c r="D16" s="39" t="s">
        <v>31</v>
      </c>
      <c r="E16" s="78">
        <f>SUM(E8:E15)</f>
        <v>0</v>
      </c>
      <c r="F16" s="18"/>
      <c r="G16" s="3"/>
      <c r="H16" s="3"/>
      <c r="I16" s="3"/>
    </row>
    <row r="17" spans="1:11" ht="12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11" ht="12" x14ac:dyDescent="0.2">
      <c r="A18" s="50" t="s">
        <v>100</v>
      </c>
      <c r="B18" s="50"/>
      <c r="C18" s="3"/>
      <c r="D18" s="3"/>
      <c r="E18" s="3"/>
      <c r="F18" s="3"/>
      <c r="G18" s="3"/>
      <c r="H18" s="3"/>
      <c r="I18" s="3"/>
    </row>
    <row r="19" spans="1:11" ht="12" x14ac:dyDescent="0.2">
      <c r="A19" s="8" t="s">
        <v>39</v>
      </c>
      <c r="B19" s="72">
        <f>B10</f>
        <v>0</v>
      </c>
      <c r="C19" s="3"/>
      <c r="D19" s="3"/>
      <c r="E19" s="3"/>
      <c r="F19" s="3"/>
      <c r="G19" s="3"/>
      <c r="H19" s="3"/>
      <c r="I19" s="3"/>
    </row>
    <row r="20" spans="1:11" ht="12" x14ac:dyDescent="0.2">
      <c r="A20" s="8" t="s">
        <v>40</v>
      </c>
      <c r="B20" s="72">
        <f>B11</f>
        <v>0</v>
      </c>
      <c r="C20" s="3"/>
      <c r="D20" s="3"/>
      <c r="E20" s="3"/>
      <c r="F20" s="3"/>
      <c r="G20" s="3"/>
      <c r="H20" s="3"/>
      <c r="I20" s="3"/>
    </row>
    <row r="21" spans="1:11" ht="12" x14ac:dyDescent="0.2">
      <c r="A21" s="8" t="s">
        <v>41</v>
      </c>
      <c r="B21" s="72">
        <f>'MAIN SHEET'!H58</f>
        <v>0</v>
      </c>
      <c r="C21" s="3"/>
      <c r="D21" s="3"/>
      <c r="E21" s="3"/>
      <c r="F21" s="3"/>
      <c r="G21" s="3"/>
      <c r="H21" s="3"/>
      <c r="I21" s="3"/>
    </row>
    <row r="22" spans="1:11" ht="12" x14ac:dyDescent="0.2">
      <c r="A22" s="8" t="s">
        <v>42</v>
      </c>
      <c r="B22" s="72">
        <f>'MAIN SHEET'!H50</f>
        <v>0</v>
      </c>
      <c r="C22" s="3"/>
      <c r="D22" s="3"/>
      <c r="E22" s="3"/>
      <c r="F22" s="3"/>
      <c r="G22" s="3"/>
      <c r="H22" s="3"/>
      <c r="I22" s="3"/>
    </row>
    <row r="23" spans="1:11" ht="12" x14ac:dyDescent="0.2">
      <c r="A23" s="8" t="s">
        <v>43</v>
      </c>
      <c r="B23" s="72">
        <f>SUBCONTRACTS!E49</f>
        <v>0</v>
      </c>
      <c r="C23" s="3"/>
      <c r="D23" s="3"/>
      <c r="E23" s="3"/>
      <c r="F23" s="3"/>
      <c r="G23" s="3"/>
      <c r="H23" s="3"/>
      <c r="I23" s="3"/>
    </row>
    <row r="24" spans="1:11" ht="12" x14ac:dyDescent="0.2">
      <c r="A24" s="8" t="s">
        <v>44</v>
      </c>
      <c r="B24" s="72">
        <f>B15</f>
        <v>0</v>
      </c>
      <c r="C24" s="3"/>
      <c r="D24" s="3"/>
      <c r="E24" s="3"/>
      <c r="F24" s="3"/>
      <c r="G24" s="3"/>
      <c r="H24" s="3"/>
      <c r="I24" s="3"/>
    </row>
    <row r="25" spans="1:11" ht="12" x14ac:dyDescent="0.2">
      <c r="A25" s="8" t="s">
        <v>45</v>
      </c>
      <c r="B25" s="72"/>
      <c r="C25" s="3"/>
      <c r="D25" s="3"/>
      <c r="E25" s="3"/>
      <c r="F25" s="3"/>
      <c r="G25" s="3"/>
      <c r="H25" s="3"/>
      <c r="I25" s="3"/>
    </row>
    <row r="26" spans="1:11" ht="12" x14ac:dyDescent="0.2">
      <c r="A26" s="39" t="s">
        <v>46</v>
      </c>
      <c r="B26" s="40">
        <f>SUM(B19:B25)</f>
        <v>0</v>
      </c>
      <c r="C26" s="3"/>
      <c r="D26" s="3"/>
      <c r="E26" s="3"/>
      <c r="F26" s="3"/>
      <c r="G26" s="3"/>
      <c r="H26" s="3"/>
      <c r="I26" s="79"/>
      <c r="J26" s="79"/>
      <c r="K26" s="79"/>
    </row>
    <row r="27" spans="1:11" ht="12" x14ac:dyDescent="0.2">
      <c r="A27" s="14" t="s">
        <v>47</v>
      </c>
      <c r="B27" s="60">
        <f>B16-B26</f>
        <v>275000</v>
      </c>
      <c r="C27" s="3"/>
      <c r="D27" s="3"/>
      <c r="E27" s="3"/>
      <c r="F27" s="3"/>
      <c r="G27" s="3"/>
      <c r="H27" s="3"/>
      <c r="I27" s="3"/>
    </row>
    <row r="28" spans="1:11" ht="12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11" ht="12" x14ac:dyDescent="0.2">
      <c r="A29" s="50" t="s">
        <v>10</v>
      </c>
      <c r="B29" s="50"/>
      <c r="C29" s="3"/>
      <c r="D29" s="3"/>
      <c r="E29" s="3"/>
      <c r="F29" s="3"/>
      <c r="G29" s="3"/>
      <c r="H29" s="3"/>
      <c r="I29" s="3"/>
    </row>
    <row r="30" spans="1:11" ht="12" x14ac:dyDescent="0.2">
      <c r="A30" s="14" t="s">
        <v>101</v>
      </c>
      <c r="B30" s="60">
        <f>'MAIN SHEET'!H97</f>
        <v>148500</v>
      </c>
      <c r="C30" s="3"/>
      <c r="D30" s="3"/>
      <c r="E30" s="3"/>
      <c r="F30" s="3"/>
      <c r="G30" s="3"/>
      <c r="H30" s="3"/>
      <c r="I30" s="3"/>
    </row>
    <row r="31" spans="1:11" ht="12" x14ac:dyDescent="0.2">
      <c r="A31" s="14" t="s">
        <v>102</v>
      </c>
      <c r="B31" s="60">
        <f>'MAIN SHEET'!H99</f>
        <v>423500</v>
      </c>
      <c r="C31" s="3"/>
      <c r="D31" s="3"/>
      <c r="E31" s="3"/>
      <c r="F31" s="3"/>
      <c r="G31" s="3"/>
      <c r="H31" s="3"/>
      <c r="I31" s="3"/>
    </row>
    <row r="32" spans="1:11" ht="12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ht="12" x14ac:dyDescent="0.2">
      <c r="A33" s="185" t="s">
        <v>103</v>
      </c>
      <c r="B33" s="185"/>
      <c r="C33" s="185"/>
      <c r="D33" s="185"/>
      <c r="E33" s="185"/>
      <c r="F33" s="185"/>
      <c r="G33" s="3"/>
      <c r="H33" s="3"/>
      <c r="I33" s="3"/>
    </row>
    <row r="34" spans="1:9" ht="12" x14ac:dyDescent="0.2">
      <c r="A34" s="184" t="str">
        <f>IF(('MAIN SHEET'!K11="")*AND('MAIN SHEET'!K12="")*AND('MAIN SHEET'!K13="")*AND('MAIN SHEET'!K134="")*AND('MAIN SHEET'!K15="")*AND('MAIN SHEET'!K16="")*AND('MAIN SHEET'!K17="")*AND('MAIN SHEET'!K18="")*AND('MAIN SHEET'!K19="")*AND('MAIN SHEET'!K20=""),"","1) The cost share is for the difference between the NIH salary cap and the actual salary for ")&amp;IF('MAIN SHEET'!K11="","",'MAIN SHEET'!K11)&amp;IF('MAIN SHEET'!K12="","",(", "&amp;'MAIN SHEET'!K12))&amp;IF('MAIN SHEET'!K13="","",(", "&amp;'MAIN SHEET'!K13))&amp;IF('MAIN SHEET'!K14="","",(", "&amp;'MAIN SHEET'!K14))&amp;IF('MAIN SHEET'!K15="","",(", "&amp;'MAIN SHEET'!K15))&amp;IF('MAIN SHEET'!K16="","",(", "&amp;'MAIN SHEET'!K16))&amp;IF('MAIN SHEET'!K17="","",(", "&amp;'MAIN SHEET'!K17))&amp;IF('MAIN SHEET'!K18="","",(", "&amp;'MAIN SHEET'!K18))&amp;IF('MAIN SHEET'!K19="","",(", "&amp;'MAIN SHEET'!K19))&amp;IF('MAIN SHEET'!K20="","",(", "&amp;'MAIN SHEET'!K20))</f>
        <v/>
      </c>
      <c r="B34" s="184"/>
      <c r="C34" s="184"/>
      <c r="D34" s="184"/>
      <c r="E34" s="184"/>
      <c r="F34" s="184"/>
      <c r="G34" s="3"/>
      <c r="H34" s="3"/>
      <c r="I34" s="3"/>
    </row>
    <row r="35" spans="1:9" ht="12" x14ac:dyDescent="0.2">
      <c r="A35" s="154" t="str">
        <f>IF('MAIN SHEET'!A104="","","2) "&amp;'MAIN SHEET'!A104)</f>
        <v/>
      </c>
      <c r="B35" s="156"/>
      <c r="C35" s="156"/>
      <c r="D35" s="156"/>
      <c r="E35" s="156"/>
      <c r="F35" s="155"/>
      <c r="G35" s="3"/>
      <c r="H35" s="3"/>
      <c r="I35" s="3"/>
    </row>
    <row r="36" spans="1:9" ht="12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ht="12" x14ac:dyDescent="0.2">
      <c r="A37" s="80" t="s">
        <v>104</v>
      </c>
      <c r="B37" s="80"/>
      <c r="C37" s="85"/>
      <c r="D37" s="85"/>
      <c r="E37" s="85"/>
      <c r="F37" s="85"/>
      <c r="G37" s="3"/>
      <c r="H37" s="3"/>
      <c r="I37" s="3"/>
    </row>
    <row r="38" spans="1:9" s="84" customFormat="1" ht="12.75" customHeight="1" x14ac:dyDescent="0.2">
      <c r="A38" s="82" t="s">
        <v>105</v>
      </c>
      <c r="B38" s="159" t="s">
        <v>106</v>
      </c>
      <c r="C38" s="159"/>
      <c r="D38" s="159"/>
      <c r="E38" s="82" t="s">
        <v>107</v>
      </c>
      <c r="F38" s="82" t="s">
        <v>108</v>
      </c>
      <c r="G38" s="4"/>
      <c r="H38" s="4"/>
      <c r="I38" s="4"/>
    </row>
    <row r="39" spans="1:9" s="28" customFormat="1" ht="12" x14ac:dyDescent="0.2">
      <c r="A39" s="44" t="str">
        <f>IF(SUBCONTRACTS!B4="","",SUBCONTRACTS!B4)</f>
        <v/>
      </c>
      <c r="B39" s="186" t="str">
        <f>IF(SUBCONTRACTS!B5="","",SUBCONTRACTS!B5)</f>
        <v/>
      </c>
      <c r="C39" s="186"/>
      <c r="D39" s="186"/>
      <c r="E39" s="86" t="str">
        <f>IF(SUBCONTRACTS!B9=0,"",SUBCONTRACTS!B9)</f>
        <v/>
      </c>
      <c r="F39" s="86" t="str">
        <f>IF(SUBCONTRACTS!B4="","",SUBCONTRACTS!E9-SUBCONTRACTS!B9)</f>
        <v/>
      </c>
      <c r="G39" s="3"/>
      <c r="H39" s="3"/>
      <c r="I39" s="3"/>
    </row>
    <row r="40" spans="1:9" s="83" customFormat="1" ht="12" x14ac:dyDescent="0.2">
      <c r="A40" s="44" t="str">
        <f>IF(SUBCONTRACTS!B13="","",SUBCONTRACTS!B13)</f>
        <v/>
      </c>
      <c r="B40" s="186" t="str">
        <f>IF(SUBCONTRACTS!B14="","",SUBCONTRACTS!B14)</f>
        <v/>
      </c>
      <c r="C40" s="186"/>
      <c r="D40" s="186"/>
      <c r="E40" s="86" t="str">
        <f>IF(SUBCONTRACTS!B18=0,"",SUBCONTRACTS!B18)</f>
        <v/>
      </c>
      <c r="F40" s="86" t="str">
        <f>IF(SUBCONTRACTS!E18=0,"",SUBCONTRACTS!E18-SUBCONTRACTS!B18)</f>
        <v/>
      </c>
    </row>
    <row r="41" spans="1:9" s="28" customFormat="1" ht="12" x14ac:dyDescent="0.2">
      <c r="A41" s="44" t="str">
        <f>IF(SUBCONTRACTS!B22="","",SUBCONTRACTS!B22)</f>
        <v/>
      </c>
      <c r="B41" s="186" t="str">
        <f>IF(SUBCONTRACTS!B23="","",SUBCONTRACTS!B23)</f>
        <v/>
      </c>
      <c r="C41" s="186"/>
      <c r="D41" s="186"/>
      <c r="E41" s="86" t="str">
        <f>IF(SUBCONTRACTS!B27=0,"",SUBCONTRACTS!B27)</f>
        <v/>
      </c>
      <c r="F41" s="86" t="str">
        <f>IF(SUBCONTRACTS!E27=0,"",SUBCONTRACTS!E27-SUBCONTRACTS!B27)</f>
        <v/>
      </c>
      <c r="G41" s="3"/>
      <c r="H41" s="3"/>
      <c r="I41" s="3"/>
    </row>
    <row r="42" spans="1:9" s="28" customFormat="1" ht="12" x14ac:dyDescent="0.2">
      <c r="A42" s="44" t="str">
        <f>IF(SUBCONTRACTS!B31="","",SUBCONTRACTS!B31)</f>
        <v/>
      </c>
      <c r="B42" s="186" t="str">
        <f>IF(SUBCONTRACTS!B32="","",SUBCONTRACTS!B32)</f>
        <v/>
      </c>
      <c r="C42" s="186"/>
      <c r="D42" s="186"/>
      <c r="E42" s="86" t="str">
        <f>IF(SUBCONTRACTS!B36=0,"",SUBCONTRACTS!B36)</f>
        <v/>
      </c>
      <c r="F42" s="86" t="str">
        <f>IF(SUBCONTRACTS!E36=0,"",SUBCONTRACTS!E36-SUBCONTRACTS!B36)</f>
        <v/>
      </c>
      <c r="G42" s="3"/>
      <c r="H42" s="3"/>
      <c r="I42" s="3"/>
    </row>
    <row r="43" spans="1:9" s="28" customFormat="1" ht="12" x14ac:dyDescent="0.2">
      <c r="A43" s="44" t="str">
        <f>IF(SUBCONTRACTS!B40="","",SUBCONTRACTS!B40)</f>
        <v/>
      </c>
      <c r="B43" s="186" t="str">
        <f>IF(SUBCONTRACTS!B41="","",SUBCONTRACTS!B41)</f>
        <v/>
      </c>
      <c r="C43" s="186"/>
      <c r="D43" s="186"/>
      <c r="E43" s="86" t="str">
        <f>IF(SUBCONTRACTS!B45=0,"",SUBCONTRACTS!B45)</f>
        <v/>
      </c>
      <c r="F43" s="86" t="str">
        <f>IF(SUBCONTRACTS!E45=0,"",SUBCONTRACTS!E45-SUBCONTRACTS!B45)</f>
        <v/>
      </c>
      <c r="G43" s="3"/>
      <c r="H43" s="3"/>
      <c r="I43" s="3"/>
    </row>
    <row r="44" spans="1:9" s="28" customFormat="1" ht="12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9" ht="12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ht="12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ht="12" x14ac:dyDescent="0.2">
      <c r="A47" s="3"/>
      <c r="B47" s="3"/>
      <c r="C47" s="3"/>
      <c r="D47" s="3"/>
      <c r="E47" s="3"/>
      <c r="F47" s="3"/>
      <c r="G47" s="3"/>
      <c r="H47" s="3"/>
      <c r="I47" s="3"/>
    </row>
  </sheetData>
  <mergeCells count="12">
    <mergeCell ref="B40:D40"/>
    <mergeCell ref="B41:D41"/>
    <mergeCell ref="B42:D42"/>
    <mergeCell ref="B43:D43"/>
    <mergeCell ref="B38:D38"/>
    <mergeCell ref="B39:D39"/>
    <mergeCell ref="D7:E7"/>
    <mergeCell ref="A2:Q2"/>
    <mergeCell ref="A4:F4"/>
    <mergeCell ref="A34:F34"/>
    <mergeCell ref="A35:F35"/>
    <mergeCell ref="A33:F33"/>
  </mergeCells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R60"/>
  <sheetViews>
    <sheetView topLeftCell="A34" workbookViewId="0">
      <selection activeCell="A73" sqref="A73"/>
    </sheetView>
  </sheetViews>
  <sheetFormatPr defaultRowHeight="12.75" x14ac:dyDescent="0.2"/>
  <cols>
    <col min="1" max="1" width="95.5703125" customWidth="1"/>
  </cols>
  <sheetData>
    <row r="2" spans="1:18" s="98" customFormat="1" x14ac:dyDescent="0.2">
      <c r="A2" s="100" t="s">
        <v>113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s="98" customFormat="1" x14ac:dyDescent="0.2">
      <c r="A3" s="68" t="s">
        <v>112</v>
      </c>
    </row>
    <row r="4" spans="1:18" s="98" customFormat="1" ht="25.5" x14ac:dyDescent="0.2">
      <c r="A4" s="101" t="s">
        <v>111</v>
      </c>
    </row>
    <row r="5" spans="1:18" s="98" customFormat="1" x14ac:dyDescent="0.2">
      <c r="A5" s="100" t="s">
        <v>114</v>
      </c>
    </row>
    <row r="6" spans="1:18" s="98" customFormat="1" x14ac:dyDescent="0.2">
      <c r="A6" s="68" t="s">
        <v>115</v>
      </c>
    </row>
    <row r="7" spans="1:18" s="98" customFormat="1" x14ac:dyDescent="0.2">
      <c r="A7" s="101" t="s">
        <v>116</v>
      </c>
    </row>
    <row r="8" spans="1:18" s="98" customFormat="1" x14ac:dyDescent="0.2">
      <c r="A8" s="101"/>
    </row>
    <row r="9" spans="1:18" x14ac:dyDescent="0.2">
      <c r="A9" s="100" t="s">
        <v>57</v>
      </c>
    </row>
    <row r="10" spans="1:18" x14ac:dyDescent="0.2">
      <c r="A10" s="68" t="s">
        <v>129</v>
      </c>
    </row>
    <row r="11" spans="1:18" x14ac:dyDescent="0.2">
      <c r="A11" s="102" t="s">
        <v>109</v>
      </c>
    </row>
    <row r="12" spans="1:18" ht="25.5" x14ac:dyDescent="0.2">
      <c r="A12" s="102" t="s">
        <v>161</v>
      </c>
    </row>
    <row r="13" spans="1:18" x14ac:dyDescent="0.2">
      <c r="A13" s="102" t="s">
        <v>117</v>
      </c>
    </row>
    <row r="14" spans="1:18" x14ac:dyDescent="0.2">
      <c r="A14" s="102" t="s">
        <v>118</v>
      </c>
    </row>
    <row r="15" spans="1:18" ht="25.5" x14ac:dyDescent="0.2">
      <c r="A15" s="102" t="s">
        <v>162</v>
      </c>
    </row>
    <row r="16" spans="1:18" x14ac:dyDescent="0.2">
      <c r="A16" s="68" t="s">
        <v>130</v>
      </c>
    </row>
    <row r="17" spans="1:1" s="98" customFormat="1" ht="25.5" x14ac:dyDescent="0.2">
      <c r="A17" s="103" t="s">
        <v>119</v>
      </c>
    </row>
    <row r="18" spans="1:1" x14ac:dyDescent="0.2">
      <c r="A18" s="105" t="s">
        <v>58</v>
      </c>
    </row>
    <row r="19" spans="1:1" x14ac:dyDescent="0.2">
      <c r="A19" s="102" t="s">
        <v>60</v>
      </c>
    </row>
    <row r="20" spans="1:1" ht="25.5" x14ac:dyDescent="0.2">
      <c r="A20" s="102" t="s">
        <v>120</v>
      </c>
    </row>
    <row r="21" spans="1:1" ht="25.5" x14ac:dyDescent="0.2">
      <c r="A21" s="102" t="s">
        <v>121</v>
      </c>
    </row>
    <row r="22" spans="1:1" x14ac:dyDescent="0.2">
      <c r="A22" s="106" t="s">
        <v>163</v>
      </c>
    </row>
    <row r="23" spans="1:1" ht="25.5" x14ac:dyDescent="0.2">
      <c r="A23" s="106" t="s">
        <v>131</v>
      </c>
    </row>
    <row r="24" spans="1:1" x14ac:dyDescent="0.2">
      <c r="A24" s="43" t="s">
        <v>61</v>
      </c>
    </row>
    <row r="25" spans="1:1" ht="25.5" x14ac:dyDescent="0.2">
      <c r="A25" s="102" t="s">
        <v>122</v>
      </c>
    </row>
    <row r="26" spans="1:1" ht="25.5" x14ac:dyDescent="0.2">
      <c r="A26" s="103" t="s">
        <v>123</v>
      </c>
    </row>
    <row r="27" spans="1:1" x14ac:dyDescent="0.2">
      <c r="A27" s="43" t="s">
        <v>159</v>
      </c>
    </row>
    <row r="28" spans="1:1" ht="25.5" x14ac:dyDescent="0.2">
      <c r="A28" s="103" t="s">
        <v>160</v>
      </c>
    </row>
    <row r="29" spans="1:1" x14ac:dyDescent="0.2">
      <c r="A29" s="68" t="s">
        <v>124</v>
      </c>
    </row>
    <row r="30" spans="1:1" ht="25.5" x14ac:dyDescent="0.2">
      <c r="A30" s="101" t="s">
        <v>125</v>
      </c>
    </row>
    <row r="31" spans="1:1" ht="38.25" x14ac:dyDescent="0.2">
      <c r="A31" s="101" t="s">
        <v>126</v>
      </c>
    </row>
    <row r="32" spans="1:1" x14ac:dyDescent="0.2">
      <c r="A32" s="68" t="s">
        <v>127</v>
      </c>
    </row>
    <row r="33" spans="1:1" ht="25.5" x14ac:dyDescent="0.2">
      <c r="A33" s="107" t="s">
        <v>128</v>
      </c>
    </row>
    <row r="34" spans="1:1" x14ac:dyDescent="0.2">
      <c r="A34" s="68" t="s">
        <v>132</v>
      </c>
    </row>
    <row r="35" spans="1:1" x14ac:dyDescent="0.2">
      <c r="A35" s="63" t="s">
        <v>133</v>
      </c>
    </row>
    <row r="36" spans="1:1" x14ac:dyDescent="0.2">
      <c r="A36" s="63" t="s">
        <v>134</v>
      </c>
    </row>
    <row r="37" spans="1:1" x14ac:dyDescent="0.2">
      <c r="A37" s="68" t="s">
        <v>135</v>
      </c>
    </row>
    <row r="38" spans="1:1" ht="25.5" x14ac:dyDescent="0.2">
      <c r="A38" s="102" t="s">
        <v>136</v>
      </c>
    </row>
    <row r="39" spans="1:1" ht="38.25" x14ac:dyDescent="0.2">
      <c r="A39" s="102" t="s">
        <v>137</v>
      </c>
    </row>
    <row r="40" spans="1:1" x14ac:dyDescent="0.2">
      <c r="A40" s="68" t="s">
        <v>138</v>
      </c>
    </row>
    <row r="41" spans="1:1" x14ac:dyDescent="0.2">
      <c r="A41" s="102" t="s">
        <v>140</v>
      </c>
    </row>
    <row r="42" spans="1:1" x14ac:dyDescent="0.2">
      <c r="A42" s="102" t="s">
        <v>139</v>
      </c>
    </row>
    <row r="43" spans="1:1" x14ac:dyDescent="0.2">
      <c r="A43" s="68" t="s">
        <v>141</v>
      </c>
    </row>
    <row r="44" spans="1:1" x14ac:dyDescent="0.2">
      <c r="A44" s="108" t="s">
        <v>142</v>
      </c>
    </row>
    <row r="45" spans="1:1" x14ac:dyDescent="0.2">
      <c r="A45" s="68" t="s">
        <v>143</v>
      </c>
    </row>
    <row r="46" spans="1:1" x14ac:dyDescent="0.2">
      <c r="A46" s="103" t="s">
        <v>144</v>
      </c>
    </row>
    <row r="47" spans="1:1" x14ac:dyDescent="0.2">
      <c r="A47" s="109" t="s">
        <v>145</v>
      </c>
    </row>
    <row r="48" spans="1:1" x14ac:dyDescent="0.2">
      <c r="A48" s="68" t="s">
        <v>147</v>
      </c>
    </row>
    <row r="49" spans="1:1" ht="38.25" x14ac:dyDescent="0.2">
      <c r="A49" s="110" t="s">
        <v>146</v>
      </c>
    </row>
    <row r="50" spans="1:1" x14ac:dyDescent="0.2">
      <c r="A50" s="68" t="s">
        <v>148</v>
      </c>
    </row>
    <row r="51" spans="1:1" x14ac:dyDescent="0.2">
      <c r="A51" s="102" t="s">
        <v>149</v>
      </c>
    </row>
    <row r="52" spans="1:1" x14ac:dyDescent="0.2">
      <c r="A52" s="102" t="s">
        <v>150</v>
      </c>
    </row>
    <row r="53" spans="1:1" x14ac:dyDescent="0.2">
      <c r="A53" s="68" t="s">
        <v>95</v>
      </c>
    </row>
    <row r="54" spans="1:1" ht="25.5" x14ac:dyDescent="0.2">
      <c r="A54" s="102" t="s">
        <v>151</v>
      </c>
    </row>
    <row r="55" spans="1:1" x14ac:dyDescent="0.2">
      <c r="A55" s="100" t="s">
        <v>141</v>
      </c>
    </row>
    <row r="56" spans="1:1" x14ac:dyDescent="0.2">
      <c r="A56" s="68" t="s">
        <v>152</v>
      </c>
    </row>
    <row r="57" spans="1:1" x14ac:dyDescent="0.2">
      <c r="A57" s="102" t="s">
        <v>153</v>
      </c>
    </row>
    <row r="58" spans="1:1" x14ac:dyDescent="0.2">
      <c r="A58" s="102" t="s">
        <v>156</v>
      </c>
    </row>
    <row r="59" spans="1:1" x14ac:dyDescent="0.2">
      <c r="A59" s="102" t="s">
        <v>155</v>
      </c>
    </row>
    <row r="60" spans="1:1" x14ac:dyDescent="0.2">
      <c r="A60" s="102" t="s">
        <v>157</v>
      </c>
    </row>
  </sheetData>
  <phoneticPr fontId="2" type="noConversion"/>
  <pageMargins left="0.25" right="0.25" top="0.25" bottom="0.25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 SHEET</vt:lpstr>
      <vt:lpstr>SUBCONTRACTS</vt:lpstr>
      <vt:lpstr>NIH 424 ITEMS</vt:lpstr>
      <vt:lpstr>ADDL NARR JUSTIF</vt:lpstr>
      <vt:lpstr>PCF BUDGET INFO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Rittenhouse,Jamie</dc:creator>
  <cp:lastModifiedBy>dbbola01</cp:lastModifiedBy>
  <cp:lastPrinted>2012-05-07T12:30:47Z</cp:lastPrinted>
  <dcterms:created xsi:type="dcterms:W3CDTF">2010-01-07T15:31:41Z</dcterms:created>
  <dcterms:modified xsi:type="dcterms:W3CDTF">2019-03-14T15:24:07Z</dcterms:modified>
</cp:coreProperties>
</file>