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xr:revisionPtr revIDLastSave="0" documentId="13_ncr:1_{390332AF-7A47-4592-94C5-0611FDA7EA8A}" xr6:coauthVersionLast="36" xr6:coauthVersionMax="36" xr10:uidLastSave="{00000000-0000-0000-0000-000000000000}"/>
  <bookViews>
    <workbookView xWindow="0" yWindow="0" windowWidth="25200" windowHeight="1200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</workbook>
</file>

<file path=xl/calcChain.xml><?xml version="1.0" encoding="utf-8"?>
<calcChain xmlns="http://schemas.openxmlformats.org/spreadsheetml/2006/main">
  <c r="P93" i="1" l="1"/>
  <c r="P92" i="1"/>
  <c r="P91" i="1"/>
  <c r="P90" i="1"/>
  <c r="P89" i="1"/>
  <c r="P88" i="1"/>
  <c r="P87" i="1"/>
  <c r="P86" i="1"/>
  <c r="I20" i="8" l="1"/>
  <c r="I19" i="8"/>
  <c r="I18" i="8"/>
  <c r="E8" i="1"/>
  <c r="E96" i="1" s="1"/>
  <c r="P96" i="1"/>
  <c r="P95" i="1"/>
  <c r="P94" i="1"/>
  <c r="A73" i="1" l="1"/>
  <c r="E73" i="1" s="1"/>
  <c r="K20" i="1" l="1"/>
  <c r="K19" i="1"/>
  <c r="K18" i="1"/>
  <c r="K17" i="1"/>
  <c r="K16" i="1"/>
  <c r="K15" i="1"/>
  <c r="K14" i="1"/>
  <c r="K13" i="1"/>
  <c r="A13" i="8" l="1"/>
  <c r="J20" i="8"/>
  <c r="K20" i="8" s="1"/>
  <c r="J19" i="8"/>
  <c r="K19" i="8"/>
  <c r="J18" i="8"/>
  <c r="K18" i="8" s="1"/>
  <c r="F73" i="1"/>
  <c r="H73" i="1" s="1"/>
  <c r="F80" i="1"/>
  <c r="F92" i="1" s="1"/>
  <c r="H92" i="1" s="1"/>
  <c r="E80" i="1"/>
  <c r="H79" i="1"/>
  <c r="H78" i="1"/>
  <c r="H77" i="1"/>
  <c r="H76" i="1"/>
  <c r="E74" i="1"/>
  <c r="B11" i="10" s="1"/>
  <c r="F71" i="1"/>
  <c r="E71" i="1"/>
  <c r="E90" i="1" s="1"/>
  <c r="H70" i="1"/>
  <c r="H69" i="1"/>
  <c r="H68" i="1"/>
  <c r="H67" i="1"/>
  <c r="F58" i="1"/>
  <c r="C8" i="10" s="1"/>
  <c r="E58" i="1"/>
  <c r="B8" i="10" s="1"/>
  <c r="H57" i="1"/>
  <c r="H56" i="1"/>
  <c r="F54" i="1"/>
  <c r="F87" i="1" s="1"/>
  <c r="E54" i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B6" i="10" s="1"/>
  <c r="L18" i="1"/>
  <c r="L17" i="1"/>
  <c r="M17" i="1" s="1"/>
  <c r="O17" i="1" s="1"/>
  <c r="L16" i="1"/>
  <c r="M16" i="1" s="1"/>
  <c r="O16" i="1" s="1"/>
  <c r="L15" i="1"/>
  <c r="M15" i="1" s="1"/>
  <c r="O15" i="1" s="1"/>
  <c r="L13" i="1"/>
  <c r="K12" i="1"/>
  <c r="L12" i="1" s="1"/>
  <c r="K11" i="1"/>
  <c r="L11" i="1" s="1"/>
  <c r="D32" i="1"/>
  <c r="D31" i="1"/>
  <c r="D30" i="1"/>
  <c r="D29" i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F14" i="1" s="1"/>
  <c r="C13" i="1"/>
  <c r="E13" i="1" s="1"/>
  <c r="C12" i="1"/>
  <c r="E12" i="1" s="1"/>
  <c r="C11" i="1"/>
  <c r="E11" i="1" s="1"/>
  <c r="F11" i="1" s="1"/>
  <c r="C51" i="4"/>
  <c r="F24" i="8" s="1"/>
  <c r="B51" i="4"/>
  <c r="F8" i="1"/>
  <c r="F96" i="1" s="1"/>
  <c r="B50" i="4"/>
  <c r="E84" i="1"/>
  <c r="E87" i="1"/>
  <c r="B9" i="4"/>
  <c r="E39" i="5" s="1"/>
  <c r="B10" i="4"/>
  <c r="B18" i="4"/>
  <c r="B27" i="4"/>
  <c r="E62" i="1" s="1"/>
  <c r="B28" i="4"/>
  <c r="B36" i="4"/>
  <c r="B37" i="4" s="1"/>
  <c r="B45" i="4"/>
  <c r="B46" i="4"/>
  <c r="F8" i="5"/>
  <c r="F9" i="5" s="1"/>
  <c r="C9" i="4"/>
  <c r="F60" i="1" s="1"/>
  <c r="C18" i="4"/>
  <c r="C27" i="4"/>
  <c r="F62" i="1" s="1"/>
  <c r="C36" i="4"/>
  <c r="F63" i="1" s="1"/>
  <c r="C45" i="4"/>
  <c r="E45" i="4" s="1"/>
  <c r="F43" i="5" s="1"/>
  <c r="C50" i="4"/>
  <c r="F84" i="1"/>
  <c r="H84" i="1" s="1"/>
  <c r="C19" i="4"/>
  <c r="E60" i="1"/>
  <c r="E61" i="1"/>
  <c r="F61" i="1"/>
  <c r="E42" i="5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E40" i="5"/>
  <c r="B52" i="4"/>
  <c r="K25" i="1"/>
  <c r="K26" i="1"/>
  <c r="E41" i="5"/>
  <c r="E43" i="5"/>
  <c r="E64" i="1"/>
  <c r="E92" i="1"/>
  <c r="L14" i="1"/>
  <c r="M14" i="1" s="1"/>
  <c r="L19" i="1"/>
  <c r="L20" i="1"/>
  <c r="K23" i="1" l="1"/>
  <c r="L28" i="1"/>
  <c r="F74" i="1"/>
  <c r="C11" i="10" s="1"/>
  <c r="H71" i="1"/>
  <c r="B14" i="5" s="1"/>
  <c r="C46" i="4"/>
  <c r="A34" i="5"/>
  <c r="C10" i="4"/>
  <c r="F90" i="1"/>
  <c r="E18" i="4"/>
  <c r="F40" i="5" s="1"/>
  <c r="E51" i="4"/>
  <c r="F33" i="8" s="1"/>
  <c r="H80" i="1"/>
  <c r="E86" i="1"/>
  <c r="F14" i="8"/>
  <c r="H62" i="1"/>
  <c r="E27" i="4"/>
  <c r="F41" i="5" s="1"/>
  <c r="K24" i="1"/>
  <c r="H61" i="1"/>
  <c r="B19" i="4"/>
  <c r="B48" i="4" s="1"/>
  <c r="B49" i="4" s="1"/>
  <c r="B10" i="10" s="1"/>
  <c r="H90" i="1"/>
  <c r="F26" i="1"/>
  <c r="E30" i="1"/>
  <c r="C52" i="4"/>
  <c r="E52" i="4" s="1"/>
  <c r="C37" i="4"/>
  <c r="E88" i="1"/>
  <c r="L23" i="1"/>
  <c r="D6" i="10"/>
  <c r="L29" i="1"/>
  <c r="H41" i="1"/>
  <c r="B10" i="5" s="1"/>
  <c r="B19" i="5" s="1"/>
  <c r="L32" i="1"/>
  <c r="F86" i="1"/>
  <c r="H86" i="1" s="1"/>
  <c r="E28" i="1"/>
  <c r="F88" i="1"/>
  <c r="H88" i="1" s="1"/>
  <c r="H54" i="1"/>
  <c r="B11" i="5" s="1"/>
  <c r="B20" i="5" s="1"/>
  <c r="D19" i="8"/>
  <c r="D18" i="8"/>
  <c r="A23" i="8"/>
  <c r="D28" i="8"/>
  <c r="F91" i="1"/>
  <c r="D9" i="10"/>
  <c r="D8" i="10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O28" i="1" s="1"/>
  <c r="C28" i="4"/>
  <c r="E9" i="4"/>
  <c r="H60" i="1"/>
  <c r="C7" i="10"/>
  <c r="F16" i="1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M11" i="1"/>
  <c r="M23" i="1" s="1"/>
  <c r="L31" i="1"/>
  <c r="M20" i="1"/>
  <c r="M32" i="1" s="1"/>
  <c r="O32" i="1" s="1"/>
  <c r="F23" i="1"/>
  <c r="E32" i="1"/>
  <c r="F20" i="1"/>
  <c r="F32" i="1" s="1"/>
  <c r="E25" i="1"/>
  <c r="F13" i="1"/>
  <c r="F25" i="1" s="1"/>
  <c r="E29" i="1"/>
  <c r="F17" i="1"/>
  <c r="F29" i="1" s="1"/>
  <c r="L24" i="1"/>
  <c r="M12" i="1"/>
  <c r="M24" i="1" s="1"/>
  <c r="M18" i="1"/>
  <c r="H14" i="1"/>
  <c r="H11" i="1"/>
  <c r="M27" i="1"/>
  <c r="M13" i="1"/>
  <c r="F18" i="1"/>
  <c r="F30" i="1" s="1"/>
  <c r="E21" i="1"/>
  <c r="E9" i="1"/>
  <c r="C19" i="8"/>
  <c r="M8" i="1"/>
  <c r="D11" i="10"/>
  <c r="H74" i="1"/>
  <c r="B15" i="5" s="1"/>
  <c r="B24" i="5" s="1"/>
  <c r="M29" i="1"/>
  <c r="O29" i="1" s="1"/>
  <c r="M26" i="1"/>
  <c r="O14" i="1"/>
  <c r="L21" i="1"/>
  <c r="L26" i="1"/>
  <c r="C48" i="4" l="1"/>
  <c r="C49" i="4" s="1"/>
  <c r="C10" i="10" s="1"/>
  <c r="H26" i="1"/>
  <c r="H30" i="1"/>
  <c r="D10" i="10"/>
  <c r="B12" i="10"/>
  <c r="O23" i="1"/>
  <c r="H18" i="1"/>
  <c r="H91" i="1"/>
  <c r="H15" i="1"/>
  <c r="O31" i="1"/>
  <c r="H64" i="1"/>
  <c r="C12" i="10"/>
  <c r="O20" i="1"/>
  <c r="O27" i="1"/>
  <c r="H20" i="1"/>
  <c r="H23" i="1"/>
  <c r="H29" i="1"/>
  <c r="O26" i="1"/>
  <c r="O11" i="1"/>
  <c r="F31" i="1"/>
  <c r="H31" i="1" s="1"/>
  <c r="H24" i="1"/>
  <c r="M21" i="1"/>
  <c r="O21" i="1" s="1"/>
  <c r="E8" i="5" s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D12" i="10" l="1"/>
  <c r="F33" i="1"/>
  <c r="F83" i="1" s="1"/>
  <c r="F43" i="1" s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M33" i="1"/>
  <c r="O33" i="1" s="1"/>
  <c r="E9" i="5" s="1"/>
  <c r="E16" i="5" s="1"/>
  <c r="H82" i="1"/>
  <c r="E43" i="1"/>
  <c r="B6" i="1"/>
  <c r="B23" i="8"/>
  <c r="M9" i="1"/>
  <c r="H33" i="1" l="1"/>
  <c r="B9" i="5" s="1"/>
  <c r="H83" i="1"/>
  <c r="F93" i="1"/>
  <c r="F23" i="8" s="1"/>
  <c r="F25" i="8" s="1"/>
  <c r="E28" i="8"/>
  <c r="E44" i="1"/>
  <c r="H43" i="1"/>
  <c r="D6" i="8"/>
  <c r="A5" i="5"/>
  <c r="F99" i="1" l="1"/>
  <c r="E85" i="1"/>
  <c r="H44" i="1"/>
  <c r="B13" i="5" s="1"/>
  <c r="B16" i="5" s="1"/>
  <c r="B27" i="5" s="1"/>
  <c r="H85" i="1" l="1"/>
  <c r="E93" i="1"/>
  <c r="E95" i="1"/>
  <c r="E19" i="8" s="1"/>
  <c r="F19" i="8" s="1"/>
  <c r="E97" i="1" l="1"/>
  <c r="H97" i="1" s="1"/>
  <c r="E18" i="8"/>
  <c r="F18" i="8" s="1"/>
  <c r="H95" i="1"/>
  <c r="H93" i="1"/>
  <c r="F13" i="8"/>
  <c r="F15" i="8" s="1"/>
  <c r="E99" i="1" l="1"/>
  <c r="H99" i="1" s="1"/>
  <c r="D7" i="8" s="1"/>
  <c r="D8" i="8" s="1"/>
  <c r="F32" i="8"/>
  <c r="F34" i="8"/>
  <c r="B30" i="5"/>
  <c r="F35" i="8"/>
  <c r="F36" i="8" l="1"/>
  <c r="B31" i="5"/>
</calcChain>
</file>

<file path=xl/sharedStrings.xml><?xml version="1.0" encoding="utf-8"?>
<sst xmlns="http://schemas.openxmlformats.org/spreadsheetml/2006/main" count="335" uniqueCount="196">
  <si>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</si>
  <si>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</si>
  <si>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</si>
  <si>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</si>
  <si>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</si>
  <si>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</si>
  <si>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</si>
  <si>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</si>
  <si>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</si>
  <si>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</si>
  <si>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</si>
  <si>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</si>
  <si>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</si>
  <si>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</si>
  <si>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</si>
  <si>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</si>
  <si>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</si>
  <si>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</si>
  <si>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</si>
  <si>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</si>
  <si>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</si>
  <si>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</si>
  <si>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</si>
  <si>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</si>
  <si>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</si>
  <si>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</si>
  <si>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</si>
  <si>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</si>
  <si>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</si>
  <si>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</si>
  <si>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</si>
  <si>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</si>
  <si>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</si>
  <si>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</si>
  <si>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</si>
  <si>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</si>
  <si>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</si>
  <si>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</si>
  <si>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</si>
  <si>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</si>
  <si>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</si>
  <si>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</si>
  <si>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</si>
  <si>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</si>
  <si>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</si>
  <si>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</si>
  <si>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</si>
  <si>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</si>
  <si>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</si>
  <si>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</si>
  <si>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</si>
  <si>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</si>
  <si>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</si>
  <si>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</si>
  <si>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</si>
  <si>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</si>
  <si>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</si>
  <si>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</si>
  <si>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</si>
  <si>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</si>
  <si>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</si>
  <si>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</si>
  <si>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</si>
  <si>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</si>
  <si>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</si>
  <si>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</si>
  <si>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</si>
  <si>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</si>
  <si>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</si>
  <si>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</si>
  <si>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</si>
  <si>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</si>
  <si>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</si>
  <si>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</si>
  <si>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</si>
  <si>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</si>
  <si>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</si>
  <si>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</si>
  <si>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</si>
  <si>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</si>
  <si>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</si>
  <si>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</si>
  <si>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</si>
  <si>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</si>
  <si>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</si>
  <si>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</si>
  <si>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</si>
  <si>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</si>
  <si>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</si>
  <si>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</si>
  <si>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</si>
  <si>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</si>
  <si>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</si>
  <si>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</si>
  <si>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</si>
  <si>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</si>
  <si>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</si>
  <si>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</si>
  <si>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</si>
  <si>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</si>
  <si>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</si>
  <si>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</si>
  <si>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</si>
  <si>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</si>
  <si>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</si>
  <si>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</si>
  <si>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</si>
  <si>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</si>
  <si>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</si>
  <si>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</si>
  <si>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</si>
  <si>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</si>
  <si>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</si>
  <si>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</si>
  <si>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</si>
  <si>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</si>
  <si>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</si>
  <si>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</si>
  <si>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</si>
  <si>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</si>
  <si>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</si>
  <si>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</si>
  <si>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</si>
  <si>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</si>
  <si>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</si>
  <si>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</si>
  <si>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</si>
  <si>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</si>
  <si>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</si>
  <si>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</si>
  <si>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</si>
  <si>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</si>
  <si>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</si>
  <si>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</si>
  <si>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</si>
  <si>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</si>
  <si>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</si>
  <si>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</si>
  <si>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</si>
  <si>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</si>
  <si>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</si>
  <si>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</si>
  <si>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</si>
  <si>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</si>
  <si>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</si>
  <si>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</si>
  <si>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</si>
  <si>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</si>
  <si>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</si>
  <si>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</si>
  <si>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</si>
  <si>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</si>
  <si>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</si>
  <si>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</si>
  <si>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</si>
  <si>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</si>
  <si>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</si>
  <si>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</si>
  <si>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</si>
  <si>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</si>
  <si>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</si>
  <si>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</si>
  <si>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</si>
  <si>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</si>
  <si>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</si>
  <si>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</si>
  <si>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</si>
  <si>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</si>
  <si>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</si>
  <si>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</si>
  <si>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</si>
  <si>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</si>
  <si>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</si>
  <si>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</si>
  <si>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</si>
  <si>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</si>
  <si>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</si>
  <si>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</si>
  <si>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</si>
  <si>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</si>
  <si>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</si>
  <si>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</si>
  <si>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</si>
  <si>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</si>
  <si>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</si>
  <si>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</si>
  <si>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</si>
  <si>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</si>
  <si>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</si>
  <si>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</si>
  <si>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</si>
  <si>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</si>
  <si>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</si>
  <si>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 xml:space="preserve">DHHS,  Arif Karim, 214-767-3261 </t>
  </si>
  <si>
    <t>F/A Calculations</t>
  </si>
  <si>
    <t xml:space="preserve">NIH salary cap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</si>
</sst>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4" fontId="4" fillId="0" borderId="0" xfId="0" applyNumberFormat="1" applyFont="1"/>
    <xf numFmtId="14" fontId="5" fillId="0" borderId="0" xfId="0" applyNumberFormat="1" applyFont="1"/>
    <xf numFmtId="10" fontId="21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common/fringe-benef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109"/>
  <sheetViews>
    <sheetView tabSelected="1" topLeftCell="B1" workbookViewId="0">
      <selection activeCell="K35" sqref="K35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63" t="s">
        <v>164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x14ac:dyDescent="0.2">
      <c r="A3" s="12" t="s">
        <v>0</v>
      </c>
      <c r="B3" s="164"/>
      <c r="C3" s="165"/>
      <c r="D3" s="165"/>
      <c r="E3" s="165"/>
      <c r="F3" s="165"/>
      <c r="H3" s="54"/>
      <c r="K3" s="52"/>
    </row>
    <row r="4" spans="1:16" ht="12.75" x14ac:dyDescent="0.2">
      <c r="A4" s="12" t="s">
        <v>1</v>
      </c>
      <c r="B4" s="166"/>
      <c r="C4" s="167"/>
      <c r="D4" s="167"/>
      <c r="E4" s="167"/>
      <c r="F4" s="167"/>
      <c r="H4" s="117"/>
      <c r="K4" s="53"/>
    </row>
    <row r="5" spans="1:16" x14ac:dyDescent="0.2">
      <c r="A5" s="12" t="s">
        <v>8</v>
      </c>
      <c r="B5" s="168">
        <v>44743</v>
      </c>
      <c r="C5" s="168"/>
      <c r="D5" s="168"/>
      <c r="E5" s="168"/>
      <c r="F5" s="168"/>
      <c r="K5" s="87"/>
    </row>
    <row r="6" spans="1:16" x14ac:dyDescent="0.2">
      <c r="A6" s="12" t="s">
        <v>9</v>
      </c>
      <c r="B6" s="168">
        <f>F9</f>
        <v>45473</v>
      </c>
      <c r="C6" s="168"/>
      <c r="D6" s="168"/>
      <c r="E6" s="168"/>
      <c r="F6" s="168"/>
      <c r="K6" s="53"/>
    </row>
    <row r="7" spans="1:16" x14ac:dyDescent="0.2">
      <c r="A7" s="12" t="s">
        <v>110</v>
      </c>
      <c r="B7" s="169">
        <v>0.03</v>
      </c>
      <c r="C7" s="169"/>
      <c r="D7" s="169"/>
      <c r="E7" s="169"/>
      <c r="F7" s="169"/>
      <c r="G7" s="4"/>
    </row>
    <row r="8" spans="1:16" s="5" customFormat="1" ht="12.75" customHeight="1" x14ac:dyDescent="0.2">
      <c r="D8" s="45" t="s">
        <v>64</v>
      </c>
      <c r="E8" s="93">
        <f>SUM(B5)</f>
        <v>44743</v>
      </c>
      <c r="F8" s="46">
        <f>EDATE(E8,12)</f>
        <v>45108</v>
      </c>
      <c r="G8" s="6"/>
      <c r="K8" s="170" t="s">
        <v>28</v>
      </c>
      <c r="L8" s="116">
        <f>E8</f>
        <v>44743</v>
      </c>
      <c r="M8" s="116">
        <f>F8</f>
        <v>45108</v>
      </c>
      <c r="N8" s="39"/>
      <c r="O8" s="39"/>
    </row>
    <row r="9" spans="1:16" s="5" customFormat="1" x14ac:dyDescent="0.2">
      <c r="D9" s="45" t="s">
        <v>65</v>
      </c>
      <c r="E9" s="46">
        <f>F8-1</f>
        <v>45107</v>
      </c>
      <c r="F9" s="46">
        <f>EDATE(E9,12)</f>
        <v>45473</v>
      </c>
      <c r="G9" s="6"/>
      <c r="K9" s="170"/>
      <c r="L9" s="116">
        <f>E9</f>
        <v>45107</v>
      </c>
      <c r="M9" s="116">
        <f>F9</f>
        <v>45473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51" t="s">
        <v>10</v>
      </c>
      <c r="B21" s="152"/>
      <c r="C21" s="152"/>
      <c r="D21" s="153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58" t="str">
        <f>IF(ISBLANK(A11),"",A11)</f>
        <v/>
      </c>
      <c r="B23" s="159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58" t="str">
        <f t="shared" ref="A24:A32" si="9">IF(ISBLANK(A12),"",A12)</f>
        <v/>
      </c>
      <c r="B24" s="159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58" t="str">
        <f t="shared" si="9"/>
        <v/>
      </c>
      <c r="B25" s="159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58" t="str">
        <f t="shared" si="9"/>
        <v/>
      </c>
      <c r="B26" s="159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58" t="str">
        <f t="shared" si="9"/>
        <v/>
      </c>
      <c r="B27" s="159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58" t="str">
        <f t="shared" si="9"/>
        <v/>
      </c>
      <c r="B28" s="159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58" t="str">
        <f t="shared" si="9"/>
        <v/>
      </c>
      <c r="B29" s="159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58" t="str">
        <f t="shared" si="9"/>
        <v/>
      </c>
      <c r="B30" s="159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58" t="str">
        <f t="shared" si="9"/>
        <v/>
      </c>
      <c r="B31" s="159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58" t="str">
        <f t="shared" si="9"/>
        <v/>
      </c>
      <c r="B32" s="159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51" t="s">
        <v>10</v>
      </c>
      <c r="B33" s="152"/>
      <c r="C33" s="152"/>
      <c r="D33" s="153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55"/>
      <c r="B35" s="156"/>
      <c r="C35" s="156"/>
      <c r="D35" s="157"/>
      <c r="E35" s="92"/>
      <c r="F35" s="92"/>
      <c r="G35" s="10"/>
      <c r="H35" s="11">
        <f t="shared" ref="H35:H40" si="12">SUM(E35:F35)</f>
        <v>0</v>
      </c>
      <c r="K35" s="20" t="s">
        <v>195</v>
      </c>
      <c r="L35" s="72">
        <v>203700</v>
      </c>
      <c r="M35" s="138"/>
    </row>
    <row r="36" spans="1:19" ht="12.75" x14ac:dyDescent="0.2">
      <c r="A36" s="155"/>
      <c r="B36" s="156"/>
      <c r="C36" s="156"/>
      <c r="D36" s="157"/>
      <c r="E36" s="92"/>
      <c r="F36" s="92"/>
      <c r="G36" s="10"/>
      <c r="H36" s="11">
        <f t="shared" si="12"/>
        <v>0</v>
      </c>
      <c r="K36" s="8" t="s">
        <v>190</v>
      </c>
      <c r="L36" s="8">
        <v>0.28499999999999998</v>
      </c>
      <c r="M36" s="139" t="s">
        <v>191</v>
      </c>
    </row>
    <row r="37" spans="1:19" x14ac:dyDescent="0.2">
      <c r="A37" s="155"/>
      <c r="B37" s="156"/>
      <c r="C37" s="156"/>
      <c r="D37" s="157"/>
      <c r="E37" s="92"/>
      <c r="F37" s="92"/>
      <c r="G37" s="10"/>
      <c r="H37" s="11">
        <f t="shared" si="12"/>
        <v>0</v>
      </c>
      <c r="K37" s="19" t="s">
        <v>63</v>
      </c>
      <c r="L37" s="72">
        <v>3108</v>
      </c>
    </row>
    <row r="38" spans="1:19" ht="12.75" x14ac:dyDescent="0.2">
      <c r="A38" s="155"/>
      <c r="B38" s="156"/>
      <c r="C38" s="156"/>
      <c r="D38" s="157"/>
      <c r="E38" s="92"/>
      <c r="F38" s="92"/>
      <c r="G38" s="10"/>
      <c r="H38" s="11">
        <f t="shared" si="12"/>
        <v>0</v>
      </c>
      <c r="K38" s="8" t="s">
        <v>165</v>
      </c>
      <c r="L38" s="72">
        <v>4512</v>
      </c>
      <c r="M38" s="139"/>
    </row>
    <row r="39" spans="1:19" x14ac:dyDescent="0.2">
      <c r="A39" s="155"/>
      <c r="B39" s="156"/>
      <c r="C39" s="156"/>
      <c r="D39" s="157"/>
      <c r="E39" s="92"/>
      <c r="F39" s="92"/>
      <c r="G39" s="10"/>
      <c r="H39" s="11">
        <f t="shared" si="12"/>
        <v>0</v>
      </c>
      <c r="K39" s="8" t="s">
        <v>189</v>
      </c>
      <c r="L39" s="72">
        <v>28000</v>
      </c>
    </row>
    <row r="40" spans="1:19" x14ac:dyDescent="0.2">
      <c r="A40" s="155"/>
      <c r="B40" s="156"/>
      <c r="C40" s="156"/>
      <c r="D40" s="157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51" t="s">
        <v>10</v>
      </c>
      <c r="B41" s="152"/>
      <c r="C41" s="152"/>
      <c r="D41" s="153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192</v>
      </c>
      <c r="L41" s="4"/>
      <c r="M41" s="4"/>
      <c r="N41" s="4"/>
      <c r="O41" s="3" t="s">
        <v>191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58"/>
      <c r="B43" s="160"/>
      <c r="C43" s="160"/>
      <c r="D43" s="159"/>
      <c r="E43" s="10">
        <f>ROUND(E101-E82-E83-E84-E86-E87-E88-SUBCONTRACTS!B50-E90-E91-E92,0)</f>
        <v>125000</v>
      </c>
      <c r="F43" s="10">
        <f>ROUND(F101-F82-F83-F84-F86-F87-F88-SUBCONTRACTS!C50-F90-F91-F92,0)</f>
        <v>125000</v>
      </c>
      <c r="G43" s="10"/>
      <c r="H43" s="11">
        <f>ROUND(SUM(E43:F43),0)</f>
        <v>250000</v>
      </c>
    </row>
    <row r="44" spans="1:19" s="5" customFormat="1" x14ac:dyDescent="0.2">
      <c r="A44" s="151" t="s">
        <v>10</v>
      </c>
      <c r="B44" s="152"/>
      <c r="C44" s="152"/>
      <c r="D44" s="153"/>
      <c r="E44" s="13">
        <f>ROUND(SUM(E43:E43),0)</f>
        <v>125000</v>
      </c>
      <c r="F44" s="13">
        <f>ROUND(SUM(F43:F43),0)</f>
        <v>125000</v>
      </c>
      <c r="G44" s="13"/>
      <c r="H44" s="13">
        <f>ROUND(SUM(E44:F44),0)</f>
        <v>250000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55"/>
      <c r="B46" s="156"/>
      <c r="C46" s="156"/>
      <c r="D46" s="157"/>
      <c r="E46" s="92"/>
      <c r="F46" s="92"/>
      <c r="G46" s="10"/>
      <c r="H46" s="11">
        <f>ROUND(SUM(E46:F46),0)</f>
        <v>0</v>
      </c>
    </row>
    <row r="47" spans="1:19" x14ac:dyDescent="0.2">
      <c r="A47" s="155"/>
      <c r="B47" s="156"/>
      <c r="C47" s="156"/>
      <c r="D47" s="157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55"/>
      <c r="B48" s="156"/>
      <c r="C48" s="156"/>
      <c r="D48" s="157"/>
      <c r="E48" s="92"/>
      <c r="F48" s="92"/>
      <c r="G48" s="10"/>
      <c r="H48" s="11">
        <f>ROUND(SUM(E48:F48),0)</f>
        <v>0</v>
      </c>
    </row>
    <row r="49" spans="1:8" x14ac:dyDescent="0.2">
      <c r="A49" s="155"/>
      <c r="B49" s="156"/>
      <c r="C49" s="156"/>
      <c r="D49" s="157"/>
      <c r="E49" s="92"/>
      <c r="F49" s="92"/>
      <c r="G49" s="10"/>
      <c r="H49" s="11">
        <f>ROUND(SUM(E49:F49),0)</f>
        <v>0</v>
      </c>
    </row>
    <row r="50" spans="1:8" s="5" customFormat="1" x14ac:dyDescent="0.2">
      <c r="A50" s="151" t="s">
        <v>10</v>
      </c>
      <c r="B50" s="152"/>
      <c r="C50" s="152"/>
      <c r="D50" s="153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55"/>
      <c r="B52" s="156"/>
      <c r="C52" s="156"/>
      <c r="D52" s="157"/>
      <c r="E52" s="92"/>
      <c r="F52" s="92"/>
      <c r="G52" s="10"/>
      <c r="H52" s="11">
        <f>ROUND(SUM(E52:F52),0)</f>
        <v>0</v>
      </c>
    </row>
    <row r="53" spans="1:8" x14ac:dyDescent="0.2">
      <c r="A53" s="155"/>
      <c r="B53" s="156"/>
      <c r="C53" s="156"/>
      <c r="D53" s="157"/>
      <c r="E53" s="92"/>
      <c r="F53" s="92"/>
      <c r="G53" s="10"/>
      <c r="H53" s="11">
        <f>ROUND(SUM(E53:F53),0)</f>
        <v>0</v>
      </c>
    </row>
    <row r="54" spans="1:8" s="5" customFormat="1" x14ac:dyDescent="0.2">
      <c r="A54" s="151" t="s">
        <v>10</v>
      </c>
      <c r="B54" s="152"/>
      <c r="C54" s="152"/>
      <c r="D54" s="153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55"/>
      <c r="B56" s="156"/>
      <c r="C56" s="156"/>
      <c r="D56" s="157"/>
      <c r="E56" s="92"/>
      <c r="F56" s="92"/>
      <c r="G56" s="10"/>
      <c r="H56" s="11">
        <f>ROUND(SUM(E56:F56),0)</f>
        <v>0</v>
      </c>
    </row>
    <row r="57" spans="1:8" s="5" customFormat="1" x14ac:dyDescent="0.2">
      <c r="A57" s="155"/>
      <c r="B57" s="156"/>
      <c r="C57" s="156"/>
      <c r="D57" s="157"/>
      <c r="E57" s="92"/>
      <c r="F57" s="92"/>
      <c r="G57" s="10"/>
      <c r="H57" s="11">
        <f>ROUND(SUM(E57:F57),0)</f>
        <v>0</v>
      </c>
    </row>
    <row r="58" spans="1:8" s="5" customFormat="1" x14ac:dyDescent="0.2">
      <c r="A58" s="151" t="s">
        <v>10</v>
      </c>
      <c r="B58" s="152"/>
      <c r="C58" s="152"/>
      <c r="D58" s="153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58" t="str">
        <f>IF(ISBLANK(SUBCONTRACTS!B4),"",SUBCONTRACTS!B4)</f>
        <v/>
      </c>
      <c r="B60" s="160"/>
      <c r="C60" s="160"/>
      <c r="D60" s="159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58" t="str">
        <f>IF(ISBLANK(SUBCONTRACTS!B13),"",SUBCONTRACTS!B13)</f>
        <v/>
      </c>
      <c r="B61" s="160"/>
      <c r="C61" s="160"/>
      <c r="D61" s="159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58" t="str">
        <f>IF(ISBLANK(SUBCONTRACTS!B22),"",SUBCONTRACTS!B22)</f>
        <v/>
      </c>
      <c r="B62" s="160"/>
      <c r="C62" s="160"/>
      <c r="D62" s="159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58" t="str">
        <f>IF(ISBLANK(SUBCONTRACTS!B31),"",SUBCONTRACTS!B31)</f>
        <v/>
      </c>
      <c r="B63" s="160"/>
      <c r="C63" s="160"/>
      <c r="D63" s="159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58" t="str">
        <f>IF(ISBLANK(SUBCONTRACTS!B40),"",SUBCONTRACTS!B40)</f>
        <v/>
      </c>
      <c r="B64" s="160"/>
      <c r="C64" s="160"/>
      <c r="D64" s="159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51" t="s">
        <v>10</v>
      </c>
      <c r="B65" s="152"/>
      <c r="C65" s="152"/>
      <c r="D65" s="153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55"/>
      <c r="B67" s="156"/>
      <c r="C67" s="156"/>
      <c r="D67" s="157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55"/>
      <c r="B68" s="156"/>
      <c r="C68" s="156"/>
      <c r="D68" s="157"/>
      <c r="E68" s="92"/>
      <c r="F68" s="92"/>
      <c r="G68" s="8"/>
      <c r="H68" s="11">
        <f>ROUND(SUM(E68:F68),0)</f>
        <v>0</v>
      </c>
    </row>
    <row r="69" spans="1:8" x14ac:dyDescent="0.2">
      <c r="A69" s="155"/>
      <c r="B69" s="156"/>
      <c r="C69" s="156"/>
      <c r="D69" s="157"/>
      <c r="E69" s="92"/>
      <c r="F69" s="92"/>
      <c r="G69" s="8"/>
      <c r="H69" s="11">
        <f>ROUND(SUM(E69:F69),0)</f>
        <v>0</v>
      </c>
    </row>
    <row r="70" spans="1:8" x14ac:dyDescent="0.2">
      <c r="A70" s="155"/>
      <c r="B70" s="156"/>
      <c r="C70" s="156"/>
      <c r="D70" s="157"/>
      <c r="E70" s="92"/>
      <c r="F70" s="92"/>
      <c r="G70" s="8"/>
      <c r="H70" s="11">
        <f>ROUND(SUM(E70:F70),0)</f>
        <v>0</v>
      </c>
    </row>
    <row r="71" spans="1:8" s="5" customFormat="1" x14ac:dyDescent="0.2">
      <c r="A71" s="151" t="s">
        <v>10</v>
      </c>
      <c r="B71" s="152"/>
      <c r="C71" s="152"/>
      <c r="D71" s="153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61">
        <f>COUNTIF(C23:C32,"GRA")</f>
        <v>0</v>
      </c>
      <c r="B73" s="161"/>
      <c r="C73" s="161"/>
      <c r="D73" s="162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51" t="s">
        <v>10</v>
      </c>
      <c r="B74" s="152"/>
      <c r="C74" s="152"/>
      <c r="D74" s="153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55"/>
      <c r="B76" s="156"/>
      <c r="C76" s="156"/>
      <c r="D76" s="157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55"/>
      <c r="B77" s="156"/>
      <c r="C77" s="156"/>
      <c r="D77" s="157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55"/>
      <c r="B78" s="156"/>
      <c r="C78" s="156"/>
      <c r="D78" s="157"/>
      <c r="E78" s="92"/>
      <c r="F78" s="92"/>
      <c r="G78" s="8"/>
      <c r="H78" s="11">
        <f>ROUND(SUM(E78:F78),0)</f>
        <v>0</v>
      </c>
    </row>
    <row r="79" spans="1:8" x14ac:dyDescent="0.2">
      <c r="A79" s="155"/>
      <c r="B79" s="156"/>
      <c r="C79" s="156"/>
      <c r="D79" s="157"/>
      <c r="E79" s="92"/>
      <c r="F79" s="92"/>
      <c r="G79" s="8"/>
      <c r="H79" s="11">
        <f>ROUND(SUM(E79:F79),0)</f>
        <v>0</v>
      </c>
    </row>
    <row r="80" spans="1:8" s="5" customFormat="1" x14ac:dyDescent="0.2">
      <c r="A80" s="151" t="s">
        <v>10</v>
      </c>
      <c r="B80" s="152"/>
      <c r="C80" s="152"/>
      <c r="D80" s="153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43" t="s">
        <v>3</v>
      </c>
      <c r="B82" s="144"/>
      <c r="C82" s="144"/>
      <c r="D82" s="145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43" t="s">
        <v>13</v>
      </c>
      <c r="B83" s="144"/>
      <c r="C83" s="144"/>
      <c r="D83" s="145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43" t="s">
        <v>15</v>
      </c>
      <c r="B84" s="144"/>
      <c r="C84" s="144"/>
      <c r="D84" s="145"/>
      <c r="E84" s="10">
        <f>E41</f>
        <v>0</v>
      </c>
      <c r="F84" s="10">
        <f>F41</f>
        <v>0</v>
      </c>
      <c r="G84" s="8"/>
      <c r="H84" s="11">
        <f t="shared" si="14"/>
        <v>0</v>
      </c>
      <c r="O84" s="8" t="s">
        <v>194</v>
      </c>
      <c r="P84" s="8"/>
    </row>
    <row r="85" spans="1:16" x14ac:dyDescent="0.2">
      <c r="A85" s="143" t="s">
        <v>16</v>
      </c>
      <c r="B85" s="144"/>
      <c r="C85" s="144"/>
      <c r="D85" s="145"/>
      <c r="E85" s="10">
        <f>E44</f>
        <v>125000</v>
      </c>
      <c r="F85" s="10">
        <f>F44</f>
        <v>125000</v>
      </c>
      <c r="G85" s="8"/>
      <c r="H85" s="11">
        <f t="shared" si="14"/>
        <v>250000</v>
      </c>
      <c r="O85" s="127">
        <v>44378</v>
      </c>
      <c r="P85" s="128">
        <v>0.56000000000000005</v>
      </c>
    </row>
    <row r="86" spans="1:16" x14ac:dyDescent="0.2">
      <c r="A86" s="143" t="s">
        <v>18</v>
      </c>
      <c r="B86" s="144"/>
      <c r="C86" s="144"/>
      <c r="D86" s="145"/>
      <c r="E86" s="10">
        <f>E50</f>
        <v>0</v>
      </c>
      <c r="F86" s="10">
        <f>F50</f>
        <v>0</v>
      </c>
      <c r="G86" s="8"/>
      <c r="H86" s="11">
        <f t="shared" si="14"/>
        <v>0</v>
      </c>
      <c r="O86" s="127">
        <v>44409</v>
      </c>
      <c r="P86" s="128">
        <f>((11/12)*0.56)+((1/12)*0.565)</f>
        <v>0.56041666666666667</v>
      </c>
    </row>
    <row r="87" spans="1:16" x14ac:dyDescent="0.2">
      <c r="A87" s="143" t="s">
        <v>54</v>
      </c>
      <c r="B87" s="144"/>
      <c r="C87" s="144"/>
      <c r="D87" s="145"/>
      <c r="E87" s="10">
        <f>E54</f>
        <v>0</v>
      </c>
      <c r="F87" s="10">
        <f>F54</f>
        <v>0</v>
      </c>
      <c r="G87" s="8"/>
      <c r="H87" s="11">
        <f t="shared" si="14"/>
        <v>0</v>
      </c>
      <c r="O87" s="127">
        <v>44440</v>
      </c>
      <c r="P87" s="128">
        <f>((10/12)*0.56)+((2/12)*0.565)</f>
        <v>0.56083333333333341</v>
      </c>
    </row>
    <row r="88" spans="1:16" x14ac:dyDescent="0.2">
      <c r="A88" s="143" t="s">
        <v>55</v>
      </c>
      <c r="B88" s="144"/>
      <c r="C88" s="144"/>
      <c r="D88" s="145"/>
      <c r="E88" s="10">
        <f>E58</f>
        <v>0</v>
      </c>
      <c r="F88" s="10">
        <f>F58</f>
        <v>0</v>
      </c>
      <c r="G88" s="8"/>
      <c r="H88" s="11">
        <f t="shared" si="14"/>
        <v>0</v>
      </c>
      <c r="O88" s="127">
        <v>44470</v>
      </c>
      <c r="P88" s="128">
        <f>((9/12)*0.56)+((3/12)*0.565)</f>
        <v>0.56125000000000003</v>
      </c>
    </row>
    <row r="89" spans="1:16" x14ac:dyDescent="0.2">
      <c r="A89" s="143" t="s">
        <v>17</v>
      </c>
      <c r="B89" s="144"/>
      <c r="C89" s="144"/>
      <c r="D89" s="145"/>
      <c r="E89" s="10">
        <f>E65</f>
        <v>0</v>
      </c>
      <c r="F89" s="10">
        <f>F65</f>
        <v>0</v>
      </c>
      <c r="G89" s="8"/>
      <c r="H89" s="11">
        <f t="shared" si="14"/>
        <v>0</v>
      </c>
      <c r="O89" s="127">
        <v>44501</v>
      </c>
      <c r="P89" s="128">
        <f>((8/12)*0.56)+((4/12)*0.565)</f>
        <v>0.56166666666666665</v>
      </c>
    </row>
    <row r="90" spans="1:16" x14ac:dyDescent="0.2">
      <c r="A90" s="143" t="s">
        <v>19</v>
      </c>
      <c r="B90" s="144"/>
      <c r="C90" s="144"/>
      <c r="D90" s="145"/>
      <c r="E90" s="10">
        <f>E71</f>
        <v>0</v>
      </c>
      <c r="F90" s="10">
        <f>F71</f>
        <v>0</v>
      </c>
      <c r="G90" s="8"/>
      <c r="H90" s="11">
        <f t="shared" si="14"/>
        <v>0</v>
      </c>
      <c r="L90" s="140"/>
      <c r="O90" s="127">
        <v>44531</v>
      </c>
      <c r="P90" s="128">
        <f>((7/12)*0.56)+((5/12)*0.565)</f>
        <v>0.56208333333333338</v>
      </c>
    </row>
    <row r="91" spans="1:16" x14ac:dyDescent="0.2">
      <c r="A91" s="143" t="s">
        <v>20</v>
      </c>
      <c r="B91" s="144"/>
      <c r="C91" s="144"/>
      <c r="D91" s="145"/>
      <c r="E91" s="10">
        <f>E74</f>
        <v>0</v>
      </c>
      <c r="F91" s="10">
        <f>F74</f>
        <v>0</v>
      </c>
      <c r="G91" s="8"/>
      <c r="H91" s="11">
        <f t="shared" si="14"/>
        <v>0</v>
      </c>
      <c r="L91" s="140"/>
      <c r="O91" s="127">
        <v>44562</v>
      </c>
      <c r="P91" s="128">
        <f>((6/12)*0.56)+((6/12)*0.565)</f>
        <v>0.5625</v>
      </c>
    </row>
    <row r="92" spans="1:16" x14ac:dyDescent="0.2">
      <c r="A92" s="143" t="s">
        <v>21</v>
      </c>
      <c r="B92" s="144"/>
      <c r="C92" s="144"/>
      <c r="D92" s="145"/>
      <c r="E92" s="10">
        <f>E80</f>
        <v>0</v>
      </c>
      <c r="F92" s="10">
        <f>F80</f>
        <v>0</v>
      </c>
      <c r="G92" s="8"/>
      <c r="H92" s="11">
        <f t="shared" si="14"/>
        <v>0</v>
      </c>
      <c r="L92" s="140"/>
      <c r="O92" s="127">
        <v>44593</v>
      </c>
      <c r="P92" s="128">
        <f>((5/12)*0.56)+((7/12)*0.565)</f>
        <v>0.56291666666666673</v>
      </c>
    </row>
    <row r="93" spans="1:16" s="5" customFormat="1" x14ac:dyDescent="0.2">
      <c r="A93" s="151" t="s">
        <v>72</v>
      </c>
      <c r="B93" s="152"/>
      <c r="C93" s="152"/>
      <c r="D93" s="153"/>
      <c r="E93" s="13">
        <f>ROUND(SUM(E82:E92),0)</f>
        <v>125000</v>
      </c>
      <c r="F93" s="13">
        <f>ROUND(SUM(F82:F92),0)</f>
        <v>125000</v>
      </c>
      <c r="G93" s="13"/>
      <c r="H93" s="13">
        <f t="shared" si="14"/>
        <v>250000</v>
      </c>
      <c r="L93" s="141"/>
      <c r="O93" s="127">
        <v>44621</v>
      </c>
      <c r="P93" s="128">
        <f>((4/12)*0.56)+((8/12)*0.565)</f>
        <v>0.56333333333333324</v>
      </c>
    </row>
    <row r="94" spans="1:16" x14ac:dyDescent="0.2">
      <c r="L94" s="140"/>
      <c r="O94" s="127">
        <v>44652</v>
      </c>
      <c r="P94" s="128">
        <f>(0.25*0.56)+(0.75*0.565)</f>
        <v>0.56374999999999997</v>
      </c>
    </row>
    <row r="95" spans="1:16" s="5" customFormat="1" x14ac:dyDescent="0.2">
      <c r="A95" s="151" t="s">
        <v>26</v>
      </c>
      <c r="B95" s="152"/>
      <c r="C95" s="152"/>
      <c r="D95" s="153"/>
      <c r="E95" s="13">
        <f>ROUND(SUM(E82+E83+E85+E90+E92+SUBCONTRACTS!B48),0)</f>
        <v>125000</v>
      </c>
      <c r="F95" s="13">
        <f>ROUND(SUM(F82+F83+F85+F90+F92+SUBCONTRACTS!C48),0)</f>
        <v>125000</v>
      </c>
      <c r="G95" s="13"/>
      <c r="H95" s="13">
        <f>ROUND(SUM(E95:F95),0)</f>
        <v>250000</v>
      </c>
      <c r="L95" s="141"/>
      <c r="O95" s="127">
        <v>44682</v>
      </c>
      <c r="P95" s="128">
        <f>((2/12)*0.56)+((10/12)*0.565)</f>
        <v>0.56416666666666671</v>
      </c>
    </row>
    <row r="96" spans="1:16" ht="12.75" customHeight="1" x14ac:dyDescent="0.2">
      <c r="A96" s="147" t="s">
        <v>35</v>
      </c>
      <c r="B96" s="147"/>
      <c r="C96" s="147"/>
      <c r="D96" s="147"/>
      <c r="E96" s="142">
        <f>IF(E8=O86,P86,IF(E8=O87,P87,IF(E8=O88,P88,IF(E8=O89,P89,IF(E8=O89,P89,IF(E8=O90,P90,IF(E8=O91,P91,IF(E8=O92,P92,IF(E8=O93,P93,IF(E8=O94,P94,IF(E8=O95,P95,IF(E8=O96,P96,IF(E8=O97,P97,0.56)))))))))))))</f>
        <v>0.56499999999999995</v>
      </c>
      <c r="F96" s="62">
        <f>IF(F8=O85,P85,IF(F8=O86,P86,IF(F8=O87,P87,IF(F8=O88,P88,IF(F8=O89,P89,IF(F8=O89,P89,IF(F8=O90,P90,IF(F8=O91,P91,IF(F8=O92,P92,IF(F8=O93,P93,IF(F8=O94,P94,IF(F8=O95,P95,IF(F8=O96,P96,IF(F8=O97,P97,0.565))))))))))))))</f>
        <v>0.56499999999999995</v>
      </c>
      <c r="L96" s="140"/>
      <c r="O96" s="127">
        <v>44713</v>
      </c>
      <c r="P96" s="128">
        <f>((1/12)*0.56)+((11/12)*0.565)</f>
        <v>0.56458333333333321</v>
      </c>
    </row>
    <row r="97" spans="1:16" s="5" customFormat="1" x14ac:dyDescent="0.2">
      <c r="A97" s="151" t="s">
        <v>73</v>
      </c>
      <c r="B97" s="152"/>
      <c r="C97" s="152"/>
      <c r="D97" s="153"/>
      <c r="E97" s="13">
        <f>ROUND(E95*E96,0)</f>
        <v>70625</v>
      </c>
      <c r="F97" s="13">
        <f>ROUND(F95*F96,0)</f>
        <v>70625</v>
      </c>
      <c r="G97" s="13"/>
      <c r="H97" s="13">
        <f>ROUND(SUM(E97:F97),0)</f>
        <v>141250</v>
      </c>
      <c r="L97" s="141"/>
      <c r="O97" s="127">
        <v>44743</v>
      </c>
      <c r="P97" s="128">
        <v>0.56499999999999995</v>
      </c>
    </row>
    <row r="98" spans="1:16" x14ac:dyDescent="0.2">
      <c r="L98" s="140"/>
    </row>
    <row r="99" spans="1:16" x14ac:dyDescent="0.2">
      <c r="A99" s="148" t="s">
        <v>36</v>
      </c>
      <c r="B99" s="149"/>
      <c r="C99" s="149"/>
      <c r="D99" s="150"/>
      <c r="E99" s="21">
        <f>ROUND(SUM(E93,E97),0)</f>
        <v>195625</v>
      </c>
      <c r="F99" s="21">
        <f>ROUND(SUM(F93,F97),0)</f>
        <v>195625</v>
      </c>
      <c r="G99" s="21"/>
      <c r="H99" s="21">
        <f>ROUND(SUM(E99,F99),0)</f>
        <v>391250</v>
      </c>
    </row>
    <row r="101" spans="1:16" ht="12.75" customHeight="1" x14ac:dyDescent="0.2">
      <c r="A101" s="154" t="s">
        <v>56</v>
      </c>
      <c r="B101" s="154"/>
      <c r="C101" s="154"/>
      <c r="D101" s="154"/>
      <c r="E101" s="97">
        <v>125000</v>
      </c>
      <c r="F101" s="97">
        <v>125000</v>
      </c>
      <c r="G101" s="8"/>
      <c r="H101" s="60">
        <f>SUM(E101:F101)</f>
        <v>250000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46"/>
      <c r="B104" s="146"/>
      <c r="C104" s="146"/>
      <c r="D104" s="146"/>
      <c r="E104" s="146"/>
      <c r="F104" s="146"/>
      <c r="G104" s="146"/>
      <c r="H104" s="146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5"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A63:D63"/>
    <mergeCell ref="A53:D53"/>
    <mergeCell ref="A56:D56"/>
    <mergeCell ref="A57:D57"/>
    <mergeCell ref="A60:D60"/>
    <mergeCell ref="A61:D61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 xr:uid="{00000000-0002-0000-0000-000000000000}">
      <formula1>200</formula1>
    </dataValidation>
    <dataValidation allowBlank="1" showErrorMessage="1" promptTitle="PI name" prompt="Fill in the Principal Investigator's name (e.g., Mike Burry, MD)." sqref="B3:F3" xr:uid="{00000000-0002-0000-0000-000001000000}"/>
    <dataValidation allowBlank="1" showErrorMessage="1" promptTitle="Start date" prompt="No entry required - calculated from Start Date in Year 1." sqref="B5:F5" xr:uid="{00000000-0002-0000-0000-000002000000}"/>
    <dataValidation allowBlank="1" showErrorMessage="1" promptTitle="End date" prompt="No entry required - calculated from End Date in Year 5." sqref="B6:F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I11:I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K11:K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F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P11:P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 xr:uid="{00000000-0002-0000-0000-00000F000000}"/>
    <dataValidation allowBlank="1" showErrorMessage="1" promptTitle="Total salary support" prompt="Each cell is the total amount of salary requested from the sponsor for this person." sqref="H11:H20" xr:uid="{00000000-0002-0000-0000-000010000000}"/>
    <dataValidation allowBlank="1" showErrorMessage="1" promptTitle="Project sponsor salary support" prompt="Total amount of salary requested from sponsor for all persons on this project." sqref="H21" xr:uid="{00000000-0002-0000-0000-000011000000}"/>
    <dataValidation allowBlank="1" showErrorMessage="1" promptTitle="Total fringe support" prompt="Each cell is the total amount of fringe support requested from the sponsor for this person." sqref="H23:H32" xr:uid="{00000000-0002-0000-0000-000012000000}"/>
    <dataValidation allowBlank="1" showErrorMessage="1" promptTitle="Salary subtotals" prompt="Sums the salary amounts requested from the sponsor for each year of the project." sqref="E21:F21" xr:uid="{00000000-0002-0000-0000-000013000000}"/>
    <dataValidation allowBlank="1" showErrorMessage="1" promptTitle="Annual fringe support" prompt="Sums the fringe benefits amounts requested from the sponsor for each year of the project." sqref="E33:F33" xr:uid="{00000000-0002-0000-0000-000014000000}"/>
    <dataValidation allowBlank="1" showErrorMessage="1" promptTitle="Project sponsor fringe support" prompt="Total amount of fringe benefits requested from sponsor for all persons on this project." sqref="H33" xr:uid="{00000000-0002-0000-0000-000015000000}"/>
    <dataValidation allowBlank="1" showErrorMessage="1" promptTitle="Annual cost share salary totals" prompt="Sums the cost share salary amounts for each year of the project." sqref="L21:M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 xr:uid="{00000000-0002-0000-0000-000017000000}"/>
    <dataValidation allowBlank="1" showErrorMessage="1" promptTitle="Cost share salary project total" prompt="Total amount of cost share for salaries for the entire project." sqref="O21" xr:uid="{00000000-0002-0000-0000-000018000000}"/>
    <dataValidation allowBlank="1" showErrorMessage="1" promptTitle="Cost share fringe names" prompt="Automatically filled in based with the names from the corresponding Salaries cells above." sqref="K23:K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P23:P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L23:M32" xr:uid="{00000000-0002-0000-0000-00001B000000}"/>
    <dataValidation allowBlank="1" showErrorMessage="1" promptTitle="Cost share fringe proj totals" prompt="Each cell is the total amount of fringe benefits costs required to be cost-shared for this person." sqref="O23:O32" xr:uid="{00000000-0002-0000-0000-00001C000000}"/>
    <dataValidation allowBlank="1" showErrorMessage="1" promptTitle="Annual cost share fringe totals" prompt="Sums the costs fringe benefits amounts for each year of the project." sqref="L33:M33" xr:uid="{00000000-0002-0000-0000-00001D000000}"/>
    <dataValidation allowBlank="1" showErrorMessage="1" promptTitle="Cost share fringe project total" prompt="Total amount of cost share fringe benefits required for the project." sqref="O33" xr:uid="{00000000-0002-0000-0000-00001E000000}"/>
    <dataValidation allowBlank="1" showErrorMessage="1" promptTitle="Project period start date" prompt="Date the project period begins for this year." sqref="F8" xr:uid="{00000000-0002-0000-0000-00001F000000}"/>
    <dataValidation allowBlank="1" showErrorMessage="1" promptTitle="Project period end date" prompt="Date the project period ends for this year." sqref="E9:F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F41" xr:uid="{00000000-0002-0000-0000-000023000000}"/>
    <dataValidation allowBlank="1" showErrorMessage="1" promptTitle="Equipment subtotal" prompt="Each cell is the total amount of equipment funding requested from the sponsor." sqref="H35:H40" xr:uid="{00000000-0002-0000-0000-000024000000}"/>
    <dataValidation allowBlank="1" showErrorMessage="1" promptTitle="Supplies total" prompt="Each cell is the total amount of supplies funding requested from the sponsor." sqref="H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F44" xr:uid="{00000000-0002-0000-0000-000027000000}"/>
    <dataValidation allowBlank="1" showErrorMessage="1" promptTitle="Project sponsor supplies support" prompt="Total amount of supplies costs requested from sponsor for this project." sqref="H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F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H46:H49" xr:uid="{00000000-0002-0000-0000-00002B000000}"/>
    <dataValidation allowBlank="1" showErrorMessage="1" promptTitle="Annual patient care costs" prompt="Sums the patient care costs requested from the sponsor for each year of the project." sqref="E50:F50" xr:uid="{00000000-0002-0000-0000-00002C000000}"/>
    <dataValidation allowBlank="1" showErrorMessage="1" promptTitle="Project sponsor pt care support" prompt="Total amount of patient care costs requested from sponsor for this project." sqref="H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H52:H53" xr:uid="{00000000-0002-0000-0000-00002F000000}"/>
    <dataValidation allowBlank="1" showErrorMessage="1" promptTitle="Annual alterations/renov costs" prompt="Sums the alteration/renovation costs requested from the sponsor for each year of the project." sqref="E54:F54" xr:uid="{00000000-0002-0000-0000-000030000000}"/>
    <dataValidation allowBlank="1" showErrorMessage="1" promptTitle="Project sponsor alter/renov" prompt="Total amount of patient care costs requested from sponsor for this project." sqref="H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F57" xr:uid="{00000000-0002-0000-0000-000033000000}"/>
    <dataValidation allowBlank="1" showErrorMessage="1" promptTitle="Annual off-site rental costs" prompt="Sums the off-site rentals costs requested from the sponsor for each year of the project." sqref="E58:F58" xr:uid="{00000000-0002-0000-0000-000034000000}"/>
    <dataValidation allowBlank="1" showErrorMessage="1" promptTitle="Off-site rentals totals" prompt="Each cell is the total off-site rentals costs for this line for the entire project." sqref="H56:H57" xr:uid="{00000000-0002-0000-0000-000035000000}"/>
    <dataValidation allowBlank="1" showErrorMessage="1" promptTitle="Project sponsor off-site rental" prompt="Total amount of off-site rentals costs requested from sponsor for this project." sqref="H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F64" xr:uid="{00000000-0002-0000-0000-000038000000}"/>
    <dataValidation allowBlank="1" showErrorMessage="1" promptTitle="Annual subonctractor costs" prompt="Sums the subcontractor costs requested from the sponsor for each year of the project." sqref="E65:F65" xr:uid="{00000000-0002-0000-0000-000039000000}"/>
    <dataValidation allowBlank="1" showErrorMessage="1" promptTitle="Subcontract line total" prompt="Each cell is the total subcontractor costs for this line for the entire project." sqref="H60:H64" xr:uid="{00000000-0002-0000-0000-00003A000000}"/>
    <dataValidation allowBlank="1" showErrorMessage="1" promptTitle="Project sponsor subcontractor" prompt="Total amount of subcontractor costs requested from sponsor for this project" sqref="H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F70" xr:uid="{00000000-0002-0000-0000-00003D000000}"/>
    <dataValidation allowBlank="1" showErrorMessage="1" promptTitle="Annual travel costs" prompt="Sums the travel costs requested from the sponsor for each year of the project." sqref="E71:F71" xr:uid="{00000000-0002-0000-0000-00003E000000}"/>
    <dataValidation allowBlank="1" showErrorMessage="1" promptTitle="Travel costs" prompt="Each cell is the total travel costs for this line for the entire project." sqref="H67:H70" xr:uid="{00000000-0002-0000-0000-00003F000000}"/>
    <dataValidation allowBlank="1" showErrorMessage="1" promptTitle="Project sponsor travel support" prompt="Total amount of travel costs requested from sponsor for this project_x000a__x000a_" sqref="H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F73" xr:uid="{00000000-0002-0000-0000-000042000000}"/>
    <dataValidation allowBlank="1" showErrorMessage="1" promptTitle="Tuition costs" prompt="Each cell is the total tuition costs for this line for the entire project." sqref="H73" xr:uid="{00000000-0002-0000-0000-000043000000}"/>
    <dataValidation allowBlank="1" showErrorMessage="1" promptTitle="Annual tuition costs" prompt="Sums the tuition costs requested from the sponsor for each year of the project." sqref="E74:F74" xr:uid="{00000000-0002-0000-0000-000044000000}"/>
    <dataValidation allowBlank="1" showErrorMessage="1" promptTitle="Project sponsor tuition costs" prompt="Total amount of tuition costs requested from sponsor for this project" sqref="H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F79" xr:uid="{00000000-0002-0000-0000-000047000000}"/>
    <dataValidation allowBlank="1" showErrorMessage="1" promptTitle="Other expenses totals" prompt="Each cell is the total other expenses costs for this line for the entire project." sqref="H76:H79" xr:uid="{00000000-0002-0000-0000-000048000000}"/>
    <dataValidation allowBlank="1" showErrorMessage="1" promptTitle="Annual other expenses costs" prompt="Sums the other expenses costs requested from the sponsor for each year of the project." sqref="E80:F80" xr:uid="{00000000-0002-0000-0000-000049000000}"/>
    <dataValidation allowBlank="1" showErrorMessage="1" promptTitle="Project sponsor other exp suppor" prompt="Total amount of other expenses costs requested from sponsor for this project." sqref="H80" xr:uid="{00000000-0002-0000-0000-00004A000000}"/>
    <dataValidation allowBlank="1" showErrorMessage="1" promptTitle="Category annual subtotals" prompt="This cell is the same as the subtotal highlighted in grey above for this category." sqref="E82:F92" xr:uid="{00000000-0002-0000-0000-00004B000000}"/>
    <dataValidation type="list" allowBlank="1" showInputMessage="1" showErrorMessage="1" sqref="E101:F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 xr:uid="{00000000-0002-0000-0000-000056000000}"/>
    <dataValidation allowBlank="1" showErrorMessage="1" sqref="H41 H82:H92" xr:uid="{00000000-0002-0000-0000-000057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 xr:uid="{00000000-0002-0000-0000-000058000000}"/>
    <dataValidation allowBlank="1" showErrorMessage="1" promptTitle="Comments" prompt="Enter in comments about the budget, if needed (e.g., Burry will be promoted 8/10 so the base salary listed is the projected amount)." sqref="A104:H104" xr:uid="{00000000-0002-0000-0000-000059000000}"/>
  </dataValidations>
  <hyperlinks>
    <hyperlink ref="M36" r:id="rId1" xr:uid="{00000000-0004-0000-0000-000000000000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63" t="s">
        <v>66</v>
      </c>
      <c r="B2" s="163"/>
      <c r="C2" s="163"/>
      <c r="D2" s="163"/>
      <c r="E2" s="16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72" t="s">
        <v>67</v>
      </c>
      <c r="B3" s="172"/>
      <c r="C3" s="172"/>
      <c r="D3" s="172"/>
      <c r="E3" s="172"/>
    </row>
    <row r="4" spans="1:16" x14ac:dyDescent="0.2">
      <c r="A4" s="31" t="s">
        <v>25</v>
      </c>
      <c r="B4" s="171"/>
      <c r="C4" s="171"/>
      <c r="D4" s="171"/>
      <c r="E4" s="171"/>
    </row>
    <row r="5" spans="1:16" x14ac:dyDescent="0.2">
      <c r="A5" s="31" t="s">
        <v>154</v>
      </c>
      <c r="B5" s="171"/>
      <c r="C5" s="171"/>
      <c r="D5" s="171"/>
      <c r="E5" s="171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72" t="s">
        <v>68</v>
      </c>
      <c r="B12" s="172"/>
      <c r="C12" s="172"/>
      <c r="D12" s="172"/>
      <c r="E12" s="172"/>
    </row>
    <row r="13" spans="1:16" x14ac:dyDescent="0.2">
      <c r="A13" s="31" t="s">
        <v>25</v>
      </c>
      <c r="B13" s="171"/>
      <c r="C13" s="171"/>
      <c r="D13" s="171"/>
      <c r="E13" s="171"/>
    </row>
    <row r="14" spans="1:16" x14ac:dyDescent="0.2">
      <c r="A14" s="31" t="s">
        <v>154</v>
      </c>
      <c r="B14" s="171"/>
      <c r="C14" s="171"/>
      <c r="D14" s="171"/>
      <c r="E14" s="171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72" t="s">
        <v>69</v>
      </c>
      <c r="B21" s="172"/>
      <c r="C21" s="172"/>
      <c r="D21" s="172"/>
      <c r="E21" s="172"/>
    </row>
    <row r="22" spans="1:12" x14ac:dyDescent="0.2">
      <c r="A22" s="31" t="s">
        <v>25</v>
      </c>
      <c r="B22" s="171"/>
      <c r="C22" s="171"/>
      <c r="D22" s="171"/>
      <c r="E22" s="171"/>
    </row>
    <row r="23" spans="1:12" x14ac:dyDescent="0.2">
      <c r="A23" s="31" t="s">
        <v>154</v>
      </c>
      <c r="B23" s="171"/>
      <c r="C23" s="171"/>
      <c r="D23" s="171"/>
      <c r="E23" s="171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72" t="s">
        <v>70</v>
      </c>
      <c r="B30" s="172"/>
      <c r="C30" s="172"/>
      <c r="D30" s="172"/>
      <c r="E30" s="172"/>
    </row>
    <row r="31" spans="1:12" x14ac:dyDescent="0.2">
      <c r="A31" s="31" t="s">
        <v>25</v>
      </c>
      <c r="B31" s="171"/>
      <c r="C31" s="171"/>
      <c r="D31" s="171"/>
      <c r="E31" s="171"/>
    </row>
    <row r="32" spans="1:12" x14ac:dyDescent="0.2">
      <c r="A32" s="31" t="s">
        <v>154</v>
      </c>
      <c r="B32" s="171"/>
      <c r="C32" s="171"/>
      <c r="D32" s="171"/>
      <c r="E32" s="171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72" t="s">
        <v>71</v>
      </c>
      <c r="B39" s="172"/>
      <c r="C39" s="172"/>
      <c r="D39" s="172"/>
      <c r="E39" s="172"/>
    </row>
    <row r="40" spans="1:12" x14ac:dyDescent="0.2">
      <c r="A40" s="31" t="s">
        <v>25</v>
      </c>
      <c r="B40" s="171"/>
      <c r="C40" s="171"/>
      <c r="D40" s="171"/>
      <c r="E40" s="171"/>
    </row>
    <row r="41" spans="1:12" x14ac:dyDescent="0.2">
      <c r="A41" s="31" t="s">
        <v>154</v>
      </c>
      <c r="B41" s="171"/>
      <c r="C41" s="171"/>
      <c r="D41" s="171"/>
      <c r="E41" s="171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 xr:uid="{00000000-0002-0000-0100-000000000000}"/>
    <dataValidation allowBlank="1" showInputMessage="1" showErrorMessage="1" promptTitle="Annual F/A inclusion totals" prompt="Annual total of all subcontract costs that will be included in UL's indirect costs." sqref="B48:C48" xr:uid="{00000000-0002-0000-0100-000001000000}"/>
    <dataValidation allowBlank="1" showInputMessage="1" showErrorMessage="1" promptTitle="Total F/A inclusion" prompt="Total of all subcontract costs that will be included in UL's indirect costs." sqref="E48" xr:uid="{00000000-0002-0000-0100-000002000000}"/>
    <dataValidation allowBlank="1" showInputMessage="1" showErrorMessage="1" promptTitle="Annual F/A exclusions" prompt="Annual total of all subcontract costs that will be excluded from UL's indirect costs (exceed $25,000)." sqref="B49:C49" xr:uid="{00000000-0002-0000-0100-000003000000}"/>
    <dataValidation allowBlank="1" showInputMessage="1" showErrorMessage="1" promptTitle="Total F/A exclusions" prompt="Total of all subcontract costs that will be excluded from UL's indirect costs (exceed $25,000) for this project." sqref="E49" xr:uid="{00000000-0002-0000-0100-000004000000}"/>
    <dataValidation allowBlank="1" showInputMessage="1" showErrorMessage="1" promptTitle="Annual direct costs" prompt="Annual total of all direct costs charged by all subcontractors." sqref="B50:C50" xr:uid="{00000000-0002-0000-0100-000005000000}"/>
    <dataValidation allowBlank="1" showInputMessage="1" showErrorMessage="1" promptTitle="Annual indirect costs totals" prompt="Annual total of all indirect costs charged by all subcontractors." sqref="B51:C51" xr:uid="{00000000-0002-0000-0100-000006000000}"/>
    <dataValidation allowBlank="1" showInputMessage="1" showErrorMessage="1" promptTitle="Annual total subcontractor costs" prompt="Annual total of both direct and indirect costs for all subcontractors." sqref="B52:C52" xr:uid="{00000000-0002-0000-0100-000007000000}"/>
    <dataValidation allowBlank="1" showInputMessage="1" showErrorMessage="1" promptTitle="Total direct costs" prompt="Total of all subcontractor direct costs for the entire project." sqref="E50" xr:uid="{00000000-0002-0000-0100-000008000000}"/>
    <dataValidation allowBlank="1" showInputMessage="1" showErrorMessage="1" promptTitle="Total indirect costs" prompt="Total of all subcontractor indirect costs for the entire project." sqref="E51" xr:uid="{00000000-0002-0000-0100-000009000000}"/>
    <dataValidation allowBlank="1" showInputMessage="1" showErrorMessage="1" promptTitle="Total subcontractors contacts" prompt="Total of both direct and indirect costs for all subcontractors for the entire project period." sqref="E52" xr:uid="{00000000-0002-0000-0100-00000A000000}"/>
    <dataValidation allowBlank="1" showErrorMessage="1" promptTitle="Annual direct costs" prompt="fill in the direct costs the subcontractee is charging for each year of the project." sqref="B34:C34 B7:C7 B16:C16 B25:C25 B43:C43" xr:uid="{00000000-0002-0000-0100-00000B000000}"/>
    <dataValidation allowBlank="1" showErrorMessage="1" promptTitle="Subcontractor annual costs" prompt="Automatically totals the direct and indirect costs for each year." sqref="B9:C9 B18:C18 B27:C27 B36:C36 B45:C45" xr:uid="{00000000-0002-0000-0100-00000C000000}"/>
    <dataValidation allowBlank="1" showErrorMessage="1" promptTitle="F/A amounts included" prompt="The amount of this year's budget that will be included in UL's indirect costs (&lt;$25,000)." sqref="B10:C10 B19:C19 B28:C28 B37:C37 B46:C46" xr:uid="{00000000-0002-0000-0100-00000D000000}"/>
    <dataValidation allowBlank="1" showErrorMessage="1" promptTitle="Project direct costs" prompt="Total direct costs charged by this sponsor for the entire project period." sqref="E7 E16 E25 E34 E43" xr:uid="{00000000-0002-0000-0100-00000E000000}"/>
    <dataValidation allowBlank="1" showErrorMessage="1" promptTitle="Subcontractor total project cost" prompt="Total amount of direct and indirect costs that this subcontractor is charging for the entire project period." sqref="E9 E18 E27 E36 E45" xr:uid="{00000000-0002-0000-0100-00000F000000}"/>
    <dataValidation allowBlank="1" showErrorMessage="1" promptTitle="Institution" prompt="fill in the name of the institution you will be subcontracting to (e.g., Brown University)." sqref="B40:E40 B31:E31 B22:E22 B13:E13 B4:E4" xr:uid="{00000000-0002-0000-0100-000010000000}"/>
    <dataValidation allowBlank="1" showErrorMessage="1" promptTitle="Principal Investigator" prompt="fill in the name of the PI at this subcontract site (e.g., Chris Meloni)." sqref="B41:E41 B32:E32 B23:E23 B14:E14 B5:E5" xr:uid="{00000000-0002-0000-0100-000011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36"/>
  <sheetViews>
    <sheetView workbookViewId="0">
      <selection activeCell="K35" sqref="K3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63" t="s">
        <v>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4" spans="1:19" ht="15" x14ac:dyDescent="0.25">
      <c r="A4" s="174" t="s">
        <v>90</v>
      </c>
      <c r="B4" s="175"/>
      <c r="C4" s="175"/>
      <c r="D4" s="175"/>
      <c r="E4" s="175"/>
      <c r="F4" s="176"/>
      <c r="K4" s="129" t="s">
        <v>186</v>
      </c>
      <c r="L4" s="130" t="s">
        <v>193</v>
      </c>
    </row>
    <row r="5" spans="1:19" x14ac:dyDescent="0.2">
      <c r="A5" s="177" t="s">
        <v>91</v>
      </c>
      <c r="B5" s="177"/>
      <c r="C5" s="177"/>
      <c r="D5" s="178">
        <f>'MAIN SHEET'!B4</f>
        <v>0</v>
      </c>
      <c r="E5" s="178"/>
      <c r="F5" s="178"/>
      <c r="K5" s="129" t="s">
        <v>187</v>
      </c>
      <c r="L5" s="131">
        <v>43550</v>
      </c>
    </row>
    <row r="6" spans="1:19" x14ac:dyDescent="0.2">
      <c r="A6" s="177" t="s">
        <v>92</v>
      </c>
      <c r="B6" s="177"/>
      <c r="C6" s="177"/>
      <c r="D6" s="179" t="str">
        <f>TEXT('MAIN SHEET'!B5, "mm/dd/yyyy")&amp;" - "&amp;TEXT('MAIN SHEET'!B6, "mm/dd/yyyy")</f>
        <v>07/01/2022 - 06/30/2024</v>
      </c>
      <c r="E6" s="179"/>
      <c r="F6" s="179"/>
    </row>
    <row r="7" spans="1:19" ht="15" x14ac:dyDescent="0.2">
      <c r="A7" s="177" t="s">
        <v>93</v>
      </c>
      <c r="B7" s="177"/>
      <c r="C7" s="177"/>
      <c r="D7" s="180">
        <f>'MAIN SHEET'!H99</f>
        <v>391250</v>
      </c>
      <c r="E7" s="180"/>
      <c r="F7" s="180"/>
      <c r="K7" s="136" t="s">
        <v>188</v>
      </c>
    </row>
    <row r="8" spans="1:19" x14ac:dyDescent="0.2">
      <c r="A8" s="177" t="s">
        <v>94</v>
      </c>
      <c r="B8" s="177"/>
      <c r="C8" s="177"/>
      <c r="D8" s="180">
        <f>D7</f>
        <v>391250</v>
      </c>
      <c r="E8" s="180"/>
      <c r="F8" s="180"/>
    </row>
    <row r="11" spans="1:19" x14ac:dyDescent="0.2">
      <c r="A11" s="174" t="s">
        <v>74</v>
      </c>
      <c r="B11" s="175"/>
      <c r="C11" s="175"/>
      <c r="D11" s="175"/>
      <c r="E11" s="175"/>
      <c r="F11" s="176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44743</v>
      </c>
      <c r="B13" s="65">
        <f>'MAIN SHEET'!E9</f>
        <v>45107</v>
      </c>
      <c r="C13" s="177" t="s">
        <v>75</v>
      </c>
      <c r="D13" s="177"/>
      <c r="E13" s="177"/>
      <c r="F13" s="66">
        <f>'MAIN SHEET'!E93-SUBCONTRACTS!B51</f>
        <v>125000</v>
      </c>
    </row>
    <row r="14" spans="1:19" x14ac:dyDescent="0.2">
      <c r="A14" s="177" t="s">
        <v>53</v>
      </c>
      <c r="B14" s="177"/>
      <c r="C14" s="177"/>
      <c r="D14" s="177"/>
      <c r="E14" s="177"/>
      <c r="F14" s="66">
        <f>SUBCONTRACTS!B51</f>
        <v>0</v>
      </c>
      <c r="I14" s="1"/>
    </row>
    <row r="15" spans="1:19" x14ac:dyDescent="0.2">
      <c r="A15" s="177" t="s">
        <v>77</v>
      </c>
      <c r="B15" s="177"/>
      <c r="C15" s="177"/>
      <c r="D15" s="177"/>
      <c r="E15" s="177"/>
      <c r="F15" s="66">
        <f>SUM(F13:F14)</f>
        <v>125000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81" t="s">
        <v>185</v>
      </c>
      <c r="I17" s="181"/>
      <c r="J17" s="181"/>
      <c r="K17" s="181"/>
    </row>
    <row r="18" spans="1:11" x14ac:dyDescent="0.2">
      <c r="C18" s="64" t="s">
        <v>81</v>
      </c>
      <c r="D18" s="67">
        <f>IF(OR(A13=H18,A13=H19,A13=H20),0.56,0.565)</f>
        <v>0.56499999999999995</v>
      </c>
      <c r="E18" s="135">
        <f>IF(A13=H18,'MAIN SHEET'!E95*J18,IF(A13=H19,'MAIN SHEET'!E95*J19,IF(A13=H20,'MAIN SHEET'!E95*J20,'MAIN SHEET'!E95)))</f>
        <v>125000</v>
      </c>
      <c r="F18" s="66">
        <f>D18*E18</f>
        <v>70625</v>
      </c>
      <c r="H18" s="127">
        <v>44652</v>
      </c>
      <c r="I18" s="128">
        <f>(0.25*0.56)+(0.75*0.565)</f>
        <v>0.56374999999999997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IF(OR(A13=H18,A13=H19,A13=H20),0.565,"")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44682</v>
      </c>
      <c r="I19" s="128">
        <f>((2/12)*0.56)+((10/12)*0.565)</f>
        <v>0.56416666666666671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44713</v>
      </c>
      <c r="I20" s="128">
        <f>((1/12)*0.56)+((11/12)*0.565)</f>
        <v>0.56458333333333321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4" t="s">
        <v>82</v>
      </c>
      <c r="B21" s="175"/>
      <c r="C21" s="175"/>
      <c r="D21" s="175"/>
      <c r="E21" s="175"/>
      <c r="F21" s="176"/>
      <c r="H21" s="127">
        <v>44743</v>
      </c>
      <c r="I21" s="128">
        <v>0.56499999999999995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45108</v>
      </c>
      <c r="B23" s="65">
        <f>'MAIN SHEET'!F9</f>
        <v>45473</v>
      </c>
      <c r="C23" s="177" t="s">
        <v>75</v>
      </c>
      <c r="D23" s="177"/>
      <c r="E23" s="177"/>
      <c r="F23" s="66">
        <f>'MAIN SHEET'!F93-SUBCONTRACTS!C51</f>
        <v>125000</v>
      </c>
    </row>
    <row r="24" spans="1:11" x14ac:dyDescent="0.2">
      <c r="A24" s="177" t="s">
        <v>53</v>
      </c>
      <c r="B24" s="177"/>
      <c r="C24" s="177"/>
      <c r="D24" s="177"/>
      <c r="E24" s="177"/>
      <c r="F24" s="66">
        <f>SUBCONTRACTS!C51</f>
        <v>0</v>
      </c>
    </row>
    <row r="25" spans="1:11" x14ac:dyDescent="0.2">
      <c r="A25" s="177" t="s">
        <v>77</v>
      </c>
      <c r="B25" s="177"/>
      <c r="C25" s="177"/>
      <c r="D25" s="177"/>
      <c r="E25" s="177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0.56499999999999995</v>
      </c>
      <c r="E28" s="66">
        <f>'MAIN SHEET'!F95</f>
        <v>125000</v>
      </c>
      <c r="F28" s="66">
        <f>'MAIN SHEET'!F97</f>
        <v>70625</v>
      </c>
    </row>
    <row r="29" spans="1:11" x14ac:dyDescent="0.2">
      <c r="C29" s="63"/>
      <c r="D29" s="67"/>
      <c r="E29" s="66"/>
      <c r="F29" s="66"/>
    </row>
    <row r="31" spans="1:11" x14ac:dyDescent="0.2">
      <c r="A31" s="174" t="s">
        <v>83</v>
      </c>
      <c r="B31" s="175"/>
      <c r="C31" s="175"/>
      <c r="D31" s="175"/>
      <c r="E31" s="175"/>
      <c r="F31" s="176"/>
    </row>
    <row r="32" spans="1:11" x14ac:dyDescent="0.2">
      <c r="A32" s="173" t="s">
        <v>84</v>
      </c>
      <c r="B32" s="173"/>
      <c r="C32" s="173"/>
      <c r="D32" s="173"/>
      <c r="E32" s="173"/>
      <c r="F32" s="66">
        <f>'MAIN SHEET'!H93-SUBCONTRACTS!E51</f>
        <v>250000</v>
      </c>
    </row>
    <row r="33" spans="1:6" x14ac:dyDescent="0.2">
      <c r="A33" s="173" t="s">
        <v>85</v>
      </c>
      <c r="B33" s="173"/>
      <c r="C33" s="173"/>
      <c r="D33" s="173"/>
      <c r="E33" s="173"/>
      <c r="F33" s="66">
        <f>SUBCONTRACTS!E51</f>
        <v>0</v>
      </c>
    </row>
    <row r="34" spans="1:6" x14ac:dyDescent="0.2">
      <c r="A34" s="173" t="s">
        <v>86</v>
      </c>
      <c r="B34" s="173"/>
      <c r="C34" s="173"/>
      <c r="D34" s="173"/>
      <c r="E34" s="173"/>
      <c r="F34" s="66">
        <f>'MAIN SHEET'!H93</f>
        <v>250000</v>
      </c>
    </row>
    <row r="35" spans="1:6" x14ac:dyDescent="0.2">
      <c r="A35" s="173" t="s">
        <v>87</v>
      </c>
      <c r="B35" s="173"/>
      <c r="C35" s="173"/>
      <c r="D35" s="173"/>
      <c r="E35" s="173"/>
      <c r="F35" s="66">
        <f>'MAIN SHEET'!H97</f>
        <v>141250</v>
      </c>
    </row>
    <row r="36" spans="1:6" x14ac:dyDescent="0.2">
      <c r="A36" s="173" t="s">
        <v>88</v>
      </c>
      <c r="B36" s="173"/>
      <c r="C36" s="173"/>
      <c r="D36" s="173"/>
      <c r="E36" s="173"/>
      <c r="F36" s="66">
        <f>'MAIN SHEET'!H99</f>
        <v>391250</v>
      </c>
    </row>
  </sheetData>
  <mergeCells count="25">
    <mergeCell ref="C23:E23"/>
    <mergeCell ref="A24:E24"/>
    <mergeCell ref="A2:S2"/>
    <mergeCell ref="C13:E13"/>
    <mergeCell ref="A11:F11"/>
    <mergeCell ref="A14:E14"/>
    <mergeCell ref="D7:F7"/>
    <mergeCell ref="D8:F8"/>
    <mergeCell ref="H17:K17"/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82" t="s">
        <v>166</v>
      </c>
      <c r="B2" s="182"/>
      <c r="C2" s="182"/>
      <c r="D2" s="182"/>
    </row>
    <row r="3" spans="1:11" ht="15" x14ac:dyDescent="0.25">
      <c r="A3" s="182"/>
      <c r="B3" s="182"/>
      <c r="C3" s="182"/>
      <c r="D3" s="182"/>
    </row>
    <row r="4" spans="1:11" ht="14.25" x14ac:dyDescent="0.2">
      <c r="A4" s="183" t="s">
        <v>167</v>
      </c>
      <c r="B4" s="183"/>
      <c r="C4" s="183"/>
      <c r="D4" s="183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83" t="s">
        <v>184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63" t="s">
        <v>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4" spans="1:17" ht="12" x14ac:dyDescent="0.2">
      <c r="A4" s="186" t="s">
        <v>97</v>
      </c>
      <c r="B4" s="187"/>
      <c r="C4" s="187"/>
      <c r="D4" s="187"/>
      <c r="E4" s="187"/>
      <c r="F4" s="187"/>
    </row>
    <row r="5" spans="1:17" ht="12" x14ac:dyDescent="0.2">
      <c r="A5" s="3" t="str">
        <f>TEXT('MAIN SHEET'!B5, "mm/dd/yyyy")&amp;" - "&amp;TEXT('MAIN SHEET'!B6, "mm/dd/yyyy")</f>
        <v>07/01/2022 - 06/30/2024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4" t="s">
        <v>99</v>
      </c>
      <c r="E7" s="185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250000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250000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141250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391250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9" t="s">
        <v>103</v>
      </c>
      <c r="B33" s="189"/>
      <c r="C33" s="189"/>
      <c r="D33" s="189"/>
      <c r="E33" s="189"/>
      <c r="F33" s="189"/>
      <c r="G33" s="3"/>
      <c r="H33" s="3"/>
      <c r="I33" s="3"/>
    </row>
    <row r="34" spans="1:9" ht="12" x14ac:dyDescent="0.2">
      <c r="A34" s="188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8"/>
      <c r="C34" s="188"/>
      <c r="D34" s="188"/>
      <c r="E34" s="188"/>
      <c r="F34" s="188"/>
      <c r="G34" s="3"/>
      <c r="H34" s="3"/>
      <c r="I34" s="3"/>
    </row>
    <row r="35" spans="1:9" ht="12" x14ac:dyDescent="0.2">
      <c r="A35" s="158" t="str">
        <f>IF('MAIN SHEET'!A104="","","2) "&amp;'MAIN SHEET'!A104)</f>
        <v/>
      </c>
      <c r="B35" s="160"/>
      <c r="C35" s="160"/>
      <c r="D35" s="160"/>
      <c r="E35" s="160"/>
      <c r="F35" s="159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81" t="s">
        <v>106</v>
      </c>
      <c r="C38" s="181"/>
      <c r="D38" s="181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90" t="str">
        <f>IF(SUBCONTRACTS!B5="","",SUBCONTRACTS!B5)</f>
        <v/>
      </c>
      <c r="C39" s="190"/>
      <c r="D39" s="190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90" t="str">
        <f>IF(SUBCONTRACTS!B14="","",SUBCONTRACTS!B14)</f>
        <v/>
      </c>
      <c r="C40" s="190"/>
      <c r="D40" s="190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90" t="str">
        <f>IF(SUBCONTRACTS!B23="","",SUBCONTRACTS!B23)</f>
        <v/>
      </c>
      <c r="C41" s="190"/>
      <c r="D41" s="190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90" t="str">
        <f>IF(SUBCONTRACTS!B32="","",SUBCONTRACTS!B32)</f>
        <v/>
      </c>
      <c r="C42" s="190"/>
      <c r="D42" s="190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90" t="str">
        <f>IF(SUBCONTRACTS!B41="","",SUBCONTRACTS!B41)</f>
        <v/>
      </c>
      <c r="C43" s="190"/>
      <c r="D43" s="190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Bolanowski,Duane D.</cp:lastModifiedBy>
  <cp:lastPrinted>2012-05-07T12:30:47Z</cp:lastPrinted>
  <dcterms:created xsi:type="dcterms:W3CDTF">2010-01-07T15:31:41Z</dcterms:created>
  <dcterms:modified xsi:type="dcterms:W3CDTF">2022-03-21T16:47:04Z</dcterms:modified>
</cp:coreProperties>
</file>