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M Research\Grants\Forms\Budget temps\"/>
    </mc:Choice>
  </mc:AlternateContent>
  <xr:revisionPtr revIDLastSave="0" documentId="13_ncr:1_{2AFFCE3E-9363-4E24-ACB8-6FCDC9590EA6}" xr6:coauthVersionLast="36" xr6:coauthVersionMax="36" xr10:uidLastSave="{00000000-0000-0000-0000-000000000000}"/>
  <bookViews>
    <workbookView xWindow="0" yWindow="0" windowWidth="25200" windowHeight="1200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 s="1"/>
  <c r="F73" i="1"/>
  <c r="H73" i="1" s="1"/>
  <c r="F80" i="1"/>
  <c r="F92" i="1" s="1"/>
  <c r="H92" i="1" s="1"/>
  <c r="E80" i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B27" i="4"/>
  <c r="E62" i="1" s="1"/>
  <c r="B28" i="4"/>
  <c r="B36" i="4"/>
  <c r="B37" i="4" s="1"/>
  <c r="B45" i="4"/>
  <c r="B46" i="4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C19" i="4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E40" i="5"/>
  <c r="B52" i="4"/>
  <c r="K25" i="1"/>
  <c r="K26" i="1"/>
  <c r="E41" i="5"/>
  <c r="E43" i="5"/>
  <c r="E64" i="1"/>
  <c r="E92" i="1"/>
  <c r="L14" i="1"/>
  <c r="M14" i="1" s="1"/>
  <c r="L19" i="1"/>
  <c r="L20" i="1"/>
  <c r="K23" i="1" l="1"/>
  <c r="L28" i="1"/>
  <c r="F74" i="1"/>
  <c r="C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E52" i="4" s="1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F91" i="1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D11" i="10"/>
  <c r="H74" i="1"/>
  <c r="B15" i="5" s="1"/>
  <c r="B24" i="5" s="1"/>
  <c r="M29" i="1"/>
  <c r="O29" i="1" s="1"/>
  <c r="M26" i="1"/>
  <c r="O14" i="1"/>
  <c r="L21" i="1"/>
  <c r="L26" i="1"/>
  <c r="C48" i="4" l="1"/>
  <c r="C49" i="4" s="1"/>
  <c r="C10" i="10" s="1"/>
  <c r="H26" i="1"/>
  <c r="H30" i="1"/>
  <c r="D10" i="10"/>
  <c r="B12" i="10"/>
  <c r="O23" i="1"/>
  <c r="H18" i="1"/>
  <c r="H91" i="1"/>
  <c r="H15" i="1"/>
  <c r="O31" i="1"/>
  <c r="H64" i="1"/>
  <c r="C12" i="10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D12" i="10" l="1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<sst xmlns="http://schemas.openxmlformats.org/spreadsheetml/2006/main" count="335" uniqueCount="196">
  <si>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</si>
  <si>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</si>
  <si>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</si>
  <si>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</si>
  <si>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</si>
  <si>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</si>
  <si>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</si>
  <si>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</si>
  <si>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</si>
  <si>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</si>
  <si>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</si>
  <si>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</si>
  <si>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</si>
  <si>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</si>
  <si>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</si>
  <si>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</si>
  <si>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</si>
  <si>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</si>
  <si>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</si>
  <si>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</si>
  <si>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</si>
  <si>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</si>
  <si>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</si>
  <si>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</si>
  <si>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</si>
  <si>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</si>
  <si>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</si>
  <si>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</si>
  <si>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</si>
  <si>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</si>
  <si>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</si>
  <si>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</si>
  <si>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</si>
  <si>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</si>
  <si>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</si>
  <si>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</si>
  <si>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</si>
  <si>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</si>
  <si>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</si>
  <si>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</si>
  <si>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</si>
  <si>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</si>
  <si>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</si>
  <si>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</si>
  <si>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</si>
  <si>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</si>
  <si>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</si>
  <si>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</si>
  <si>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</si>
  <si>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</si>
  <si>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</si>
  <si>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</si>
  <si>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</si>
  <si>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</si>
  <si>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</si>
  <si>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</si>
  <si>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</si>
  <si>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</si>
  <si>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</si>
  <si>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</si>
  <si>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</si>
  <si>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</si>
  <si>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</si>
  <si>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</si>
  <si>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</si>
  <si>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</si>
  <si>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</si>
  <si>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</si>
  <si>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</si>
  <si>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</si>
  <si>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</si>
  <si>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</si>
  <si>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</si>
  <si>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</si>
  <si>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</si>
  <si>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</si>
  <si>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</si>
  <si>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</si>
  <si>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</si>
  <si>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</si>
  <si>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</si>
  <si>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</si>
  <si>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</si>
  <si>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</si>
  <si>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</si>
  <si>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</si>
  <si>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</si>
  <si>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</si>
  <si>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</si>
  <si>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</si>
  <si>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</si>
  <si>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</si>
  <si>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</si>
  <si>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</si>
  <si>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</si>
  <si>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</si>
  <si>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</si>
  <si>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</si>
  <si>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</si>
  <si>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</si>
  <si>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</si>
  <si>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</si>
  <si>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</si>
  <si>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</si>
  <si>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</si>
  <si>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</si>
  <si>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</si>
  <si>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</si>
  <si>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</si>
  <si>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</si>
  <si>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</si>
  <si>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</si>
  <si>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</si>
  <si>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</si>
  <si>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</si>
  <si>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</si>
  <si>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</si>
  <si>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</si>
  <si>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</si>
  <si>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</si>
  <si>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</si>
  <si>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</si>
  <si>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</si>
  <si>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</si>
  <si>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</si>
  <si>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</si>
  <si>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</si>
  <si>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</si>
  <si>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</si>
  <si>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</si>
  <si>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</si>
  <si>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</si>
  <si>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</si>
  <si>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</si>
  <si>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</si>
  <si>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</si>
  <si>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</si>
  <si>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</si>
  <si>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</si>
  <si>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</si>
  <si>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</si>
  <si>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</si>
  <si>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</si>
  <si>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</si>
  <si>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</si>
  <si>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</si>
  <si>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</si>
  <si>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</si>
  <si>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</si>
  <si>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</si>
  <si>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</si>
  <si>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</si>
  <si>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</si>
  <si>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</si>
  <si>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</si>
  <si>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</si>
  <si>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</si>
  <si>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</si>
  <si>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</si>
  <si>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</si>
  <si>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</si>
  <si>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</si>
  <si>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</si>
  <si>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</si>
  <si>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</si>
  <si>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</si>
  <si>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</si>
  <si>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</si>
  <si>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</si>
  <si>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</si>
  <si>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</si>
  <si>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</si>
  <si>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</si>
  <si>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</si>
  <si>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</si>
  <si>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</si>
  <si>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</si>
  <si>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</si>
  <si>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</si>
  <si>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</si>
  <si>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</si>
  <si>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</si>
  <si>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</si>
  <si>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</si>
  <si>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</si>
  <si>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</si>
  <si>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</si>
  <si>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</si>
  <si>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</si>
  <si>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</si>
  <si>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</si>
  <si>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</si>
  <si>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</si>
  <si>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</si>
  <si>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</si>
  <si>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>NIH salary cap (1/3/21)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</si>
</sst>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common/fringe-benef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A10" workbookViewId="0">
      <selection activeCell="K101" sqref="K101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63" t="s">
        <v>164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x14ac:dyDescent="0.2">
      <c r="A3" s="12" t="s">
        <v>0</v>
      </c>
      <c r="B3" s="164"/>
      <c r="C3" s="165"/>
      <c r="D3" s="165"/>
      <c r="E3" s="165"/>
      <c r="F3" s="165"/>
      <c r="H3" s="54"/>
      <c r="K3" s="52"/>
    </row>
    <row r="4" spans="1:16" ht="12.75" x14ac:dyDescent="0.2">
      <c r="A4" s="12" t="s">
        <v>1</v>
      </c>
      <c r="B4" s="166"/>
      <c r="C4" s="167"/>
      <c r="D4" s="167"/>
      <c r="E4" s="167"/>
      <c r="F4" s="167"/>
      <c r="H4" s="117"/>
      <c r="K4" s="53"/>
    </row>
    <row r="5" spans="1:16" x14ac:dyDescent="0.2">
      <c r="A5" s="12" t="s">
        <v>8</v>
      </c>
      <c r="B5" s="168">
        <v>44743</v>
      </c>
      <c r="C5" s="168"/>
      <c r="D5" s="168"/>
      <c r="E5" s="168"/>
      <c r="F5" s="168"/>
      <c r="K5" s="87"/>
    </row>
    <row r="6" spans="1:16" x14ac:dyDescent="0.2">
      <c r="A6" s="12" t="s">
        <v>9</v>
      </c>
      <c r="B6" s="168">
        <f>F9</f>
        <v>45473</v>
      </c>
      <c r="C6" s="168"/>
      <c r="D6" s="168"/>
      <c r="E6" s="168"/>
      <c r="F6" s="168"/>
      <c r="K6" s="53"/>
    </row>
    <row r="7" spans="1:16" x14ac:dyDescent="0.2">
      <c r="A7" s="12" t="s">
        <v>110</v>
      </c>
      <c r="B7" s="169">
        <v>0.03</v>
      </c>
      <c r="C7" s="169"/>
      <c r="D7" s="169"/>
      <c r="E7" s="169"/>
      <c r="F7" s="169"/>
      <c r="G7" s="4"/>
    </row>
    <row r="8" spans="1:16" s="5" customFormat="1" ht="12.75" customHeight="1" x14ac:dyDescent="0.2">
      <c r="D8" s="45" t="s">
        <v>64</v>
      </c>
      <c r="E8" s="93">
        <f>SUM(B5)</f>
        <v>44743</v>
      </c>
      <c r="F8" s="46">
        <f>EDATE(E8,12)</f>
        <v>45108</v>
      </c>
      <c r="G8" s="6"/>
      <c r="K8" s="170" t="s">
        <v>28</v>
      </c>
      <c r="L8" s="116">
        <f>E8</f>
        <v>44743</v>
      </c>
      <c r="M8" s="116">
        <f>F8</f>
        <v>45108</v>
      </c>
      <c r="N8" s="39"/>
      <c r="O8" s="39"/>
    </row>
    <row r="9" spans="1:16" s="5" customFormat="1" x14ac:dyDescent="0.2">
      <c r="D9" s="45" t="s">
        <v>65</v>
      </c>
      <c r="E9" s="46">
        <f>F8-1</f>
        <v>45107</v>
      </c>
      <c r="F9" s="46">
        <f>EDATE(E9,12)</f>
        <v>45473</v>
      </c>
      <c r="G9" s="6"/>
      <c r="K9" s="170"/>
      <c r="L9" s="116">
        <f>E9</f>
        <v>45107</v>
      </c>
      <c r="M9" s="116">
        <f>F9</f>
        <v>45473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1" t="s">
        <v>10</v>
      </c>
      <c r="B21" s="152"/>
      <c r="C21" s="152"/>
      <c r="D21" s="153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58" t="str">
        <f>IF(ISBLANK(A11),"",A11)</f>
        <v/>
      </c>
      <c r="B23" s="159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58" t="str">
        <f t="shared" ref="A24:A32" si="9">IF(ISBLANK(A12),"",A12)</f>
        <v/>
      </c>
      <c r="B24" s="159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58" t="str">
        <f t="shared" si="9"/>
        <v/>
      </c>
      <c r="B25" s="159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58" t="str">
        <f t="shared" si="9"/>
        <v/>
      </c>
      <c r="B26" s="159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58" t="str">
        <f t="shared" si="9"/>
        <v/>
      </c>
      <c r="B27" s="159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58" t="str">
        <f t="shared" si="9"/>
        <v/>
      </c>
      <c r="B28" s="159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58" t="str">
        <f t="shared" si="9"/>
        <v/>
      </c>
      <c r="B29" s="159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58" t="str">
        <f t="shared" si="9"/>
        <v/>
      </c>
      <c r="B30" s="159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58" t="str">
        <f t="shared" si="9"/>
        <v/>
      </c>
      <c r="B31" s="159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58" t="str">
        <f t="shared" si="9"/>
        <v/>
      </c>
      <c r="B32" s="159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1" t="s">
        <v>10</v>
      </c>
      <c r="B33" s="152"/>
      <c r="C33" s="152"/>
      <c r="D33" s="153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55"/>
      <c r="B35" s="156"/>
      <c r="C35" s="156"/>
      <c r="D35" s="157"/>
      <c r="E35" s="92"/>
      <c r="F35" s="92"/>
      <c r="G35" s="10"/>
      <c r="H35" s="11">
        <f t="shared" ref="H35:H40" si="12">SUM(E35:F35)</f>
        <v>0</v>
      </c>
      <c r="K35" s="20" t="s">
        <v>195</v>
      </c>
      <c r="L35" s="72">
        <v>212100</v>
      </c>
      <c r="M35" s="138"/>
    </row>
    <row r="36" spans="1:19" ht="12.75" x14ac:dyDescent="0.2">
      <c r="A36" s="155"/>
      <c r="B36" s="156"/>
      <c r="C36" s="156"/>
      <c r="D36" s="157"/>
      <c r="E36" s="92"/>
      <c r="F36" s="92"/>
      <c r="G36" s="10"/>
      <c r="H36" s="11">
        <f t="shared" si="12"/>
        <v>0</v>
      </c>
      <c r="K36" s="8" t="s">
        <v>190</v>
      </c>
      <c r="L36" s="8">
        <v>0.28499999999999998</v>
      </c>
      <c r="M36" s="139" t="s">
        <v>191</v>
      </c>
    </row>
    <row r="37" spans="1:19" x14ac:dyDescent="0.2">
      <c r="A37" s="155"/>
      <c r="B37" s="156"/>
      <c r="C37" s="156"/>
      <c r="D37" s="157"/>
      <c r="E37" s="92"/>
      <c r="F37" s="92"/>
      <c r="G37" s="10"/>
      <c r="H37" s="11">
        <f t="shared" si="12"/>
        <v>0</v>
      </c>
      <c r="K37" s="19" t="s">
        <v>63</v>
      </c>
      <c r="L37" s="72">
        <v>3432</v>
      </c>
    </row>
    <row r="38" spans="1:19" ht="12.75" x14ac:dyDescent="0.2">
      <c r="A38" s="155"/>
      <c r="B38" s="156"/>
      <c r="C38" s="156"/>
      <c r="D38" s="157"/>
      <c r="E38" s="92"/>
      <c r="F38" s="92"/>
      <c r="G38" s="10"/>
      <c r="H38" s="11">
        <f t="shared" si="12"/>
        <v>0</v>
      </c>
      <c r="K38" s="8" t="s">
        <v>165</v>
      </c>
      <c r="L38" s="72">
        <v>4746</v>
      </c>
      <c r="M38" s="139"/>
    </row>
    <row r="39" spans="1:19" x14ac:dyDescent="0.2">
      <c r="A39" s="155"/>
      <c r="B39" s="156"/>
      <c r="C39" s="156"/>
      <c r="D39" s="157"/>
      <c r="E39" s="92"/>
      <c r="F39" s="92"/>
      <c r="G39" s="10"/>
      <c r="H39" s="11">
        <f t="shared" si="12"/>
        <v>0</v>
      </c>
      <c r="K39" s="8" t="s">
        <v>189</v>
      </c>
      <c r="L39" s="72">
        <v>30000</v>
      </c>
    </row>
    <row r="40" spans="1:19" x14ac:dyDescent="0.2">
      <c r="A40" s="155"/>
      <c r="B40" s="156"/>
      <c r="C40" s="156"/>
      <c r="D40" s="157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1" t="s">
        <v>10</v>
      </c>
      <c r="B41" s="152"/>
      <c r="C41" s="152"/>
      <c r="D41" s="153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192</v>
      </c>
      <c r="L41" s="4"/>
      <c r="M41" s="4"/>
      <c r="N41" s="4"/>
      <c r="O41" s="3" t="s">
        <v>191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58"/>
      <c r="B43" s="160"/>
      <c r="C43" s="160"/>
      <c r="D43" s="159"/>
      <c r="E43" s="10">
        <f>ROUND(E101-E82-E83-E84-E86-E87-E88-SUBCONTRACTS!B50-E90-E91-E92,0)</f>
        <v>50000</v>
      </c>
      <c r="F43" s="10">
        <f>ROUND(F101-F82-F83-F84-F86-F87-F88-SUBCONTRACTS!C50-F90-F91-F92,0)</f>
        <v>50000</v>
      </c>
      <c r="G43" s="10"/>
      <c r="H43" s="11">
        <f>ROUND(SUM(E43:F43),0)</f>
        <v>100000</v>
      </c>
    </row>
    <row r="44" spans="1:19" s="5" customFormat="1" x14ac:dyDescent="0.2">
      <c r="A44" s="151" t="s">
        <v>10</v>
      </c>
      <c r="B44" s="152"/>
      <c r="C44" s="152"/>
      <c r="D44" s="153"/>
      <c r="E44" s="13">
        <f>ROUND(SUM(E43:E43),0)</f>
        <v>50000</v>
      </c>
      <c r="F44" s="13">
        <f>ROUND(SUM(F43:F43),0)</f>
        <v>50000</v>
      </c>
      <c r="G44" s="13"/>
      <c r="H44" s="13">
        <f>ROUND(SUM(E44:F44),0)</f>
        <v>100000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55"/>
      <c r="B46" s="156"/>
      <c r="C46" s="156"/>
      <c r="D46" s="157"/>
      <c r="E46" s="92"/>
      <c r="F46" s="92"/>
      <c r="G46" s="10"/>
      <c r="H46" s="11">
        <f>ROUND(SUM(E46:F46),0)</f>
        <v>0</v>
      </c>
    </row>
    <row r="47" spans="1:19" x14ac:dyDescent="0.2">
      <c r="A47" s="155"/>
      <c r="B47" s="156"/>
      <c r="C47" s="156"/>
      <c r="D47" s="157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55"/>
      <c r="B48" s="156"/>
      <c r="C48" s="156"/>
      <c r="D48" s="157"/>
      <c r="E48" s="92"/>
      <c r="F48" s="92"/>
      <c r="G48" s="10"/>
      <c r="H48" s="11">
        <f>ROUND(SUM(E48:F48),0)</f>
        <v>0</v>
      </c>
    </row>
    <row r="49" spans="1:8" x14ac:dyDescent="0.2">
      <c r="A49" s="155"/>
      <c r="B49" s="156"/>
      <c r="C49" s="156"/>
      <c r="D49" s="157"/>
      <c r="E49" s="92"/>
      <c r="F49" s="92"/>
      <c r="G49" s="10"/>
      <c r="H49" s="11">
        <f>ROUND(SUM(E49:F49),0)</f>
        <v>0</v>
      </c>
    </row>
    <row r="50" spans="1:8" s="5" customFormat="1" x14ac:dyDescent="0.2">
      <c r="A50" s="151" t="s">
        <v>10</v>
      </c>
      <c r="B50" s="152"/>
      <c r="C50" s="152"/>
      <c r="D50" s="153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55"/>
      <c r="B52" s="156"/>
      <c r="C52" s="156"/>
      <c r="D52" s="157"/>
      <c r="E52" s="92"/>
      <c r="F52" s="92"/>
      <c r="G52" s="10"/>
      <c r="H52" s="11">
        <f>ROUND(SUM(E52:F52),0)</f>
        <v>0</v>
      </c>
    </row>
    <row r="53" spans="1:8" x14ac:dyDescent="0.2">
      <c r="A53" s="155"/>
      <c r="B53" s="156"/>
      <c r="C53" s="156"/>
      <c r="D53" s="157"/>
      <c r="E53" s="92"/>
      <c r="F53" s="92"/>
      <c r="G53" s="10"/>
      <c r="H53" s="11">
        <f>ROUND(SUM(E53:F53),0)</f>
        <v>0</v>
      </c>
    </row>
    <row r="54" spans="1:8" s="5" customFormat="1" x14ac:dyDescent="0.2">
      <c r="A54" s="151" t="s">
        <v>10</v>
      </c>
      <c r="B54" s="152"/>
      <c r="C54" s="152"/>
      <c r="D54" s="153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55"/>
      <c r="B56" s="156"/>
      <c r="C56" s="156"/>
      <c r="D56" s="157"/>
      <c r="E56" s="92"/>
      <c r="F56" s="92"/>
      <c r="G56" s="10"/>
      <c r="H56" s="11">
        <f>ROUND(SUM(E56:F56),0)</f>
        <v>0</v>
      </c>
    </row>
    <row r="57" spans="1:8" s="5" customFormat="1" x14ac:dyDescent="0.2">
      <c r="A57" s="155"/>
      <c r="B57" s="156"/>
      <c r="C57" s="156"/>
      <c r="D57" s="157"/>
      <c r="E57" s="92"/>
      <c r="F57" s="92"/>
      <c r="G57" s="10"/>
      <c r="H57" s="11">
        <f>ROUND(SUM(E57:F57),0)</f>
        <v>0</v>
      </c>
    </row>
    <row r="58" spans="1:8" s="5" customFormat="1" x14ac:dyDescent="0.2">
      <c r="A58" s="151" t="s">
        <v>10</v>
      </c>
      <c r="B58" s="152"/>
      <c r="C58" s="152"/>
      <c r="D58" s="153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58" t="str">
        <f>IF(ISBLANK(SUBCONTRACTS!B4),"",SUBCONTRACTS!B4)</f>
        <v/>
      </c>
      <c r="B60" s="160"/>
      <c r="C60" s="160"/>
      <c r="D60" s="159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58" t="str">
        <f>IF(ISBLANK(SUBCONTRACTS!B13),"",SUBCONTRACTS!B13)</f>
        <v/>
      </c>
      <c r="B61" s="160"/>
      <c r="C61" s="160"/>
      <c r="D61" s="159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58" t="str">
        <f>IF(ISBLANK(SUBCONTRACTS!B22),"",SUBCONTRACTS!B22)</f>
        <v/>
      </c>
      <c r="B62" s="160"/>
      <c r="C62" s="160"/>
      <c r="D62" s="159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58" t="str">
        <f>IF(ISBLANK(SUBCONTRACTS!B31),"",SUBCONTRACTS!B31)</f>
        <v/>
      </c>
      <c r="B63" s="160"/>
      <c r="C63" s="160"/>
      <c r="D63" s="159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58" t="str">
        <f>IF(ISBLANK(SUBCONTRACTS!B40),"",SUBCONTRACTS!B40)</f>
        <v/>
      </c>
      <c r="B64" s="160"/>
      <c r="C64" s="160"/>
      <c r="D64" s="159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1" t="s">
        <v>10</v>
      </c>
      <c r="B65" s="152"/>
      <c r="C65" s="152"/>
      <c r="D65" s="153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55"/>
      <c r="B67" s="156"/>
      <c r="C67" s="156"/>
      <c r="D67" s="157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55"/>
      <c r="B68" s="156"/>
      <c r="C68" s="156"/>
      <c r="D68" s="157"/>
      <c r="E68" s="92"/>
      <c r="F68" s="92"/>
      <c r="G68" s="8"/>
      <c r="H68" s="11">
        <f>ROUND(SUM(E68:F68),0)</f>
        <v>0</v>
      </c>
    </row>
    <row r="69" spans="1:8" x14ac:dyDescent="0.2">
      <c r="A69" s="155"/>
      <c r="B69" s="156"/>
      <c r="C69" s="156"/>
      <c r="D69" s="157"/>
      <c r="E69" s="92"/>
      <c r="F69" s="92"/>
      <c r="G69" s="8"/>
      <c r="H69" s="11">
        <f>ROUND(SUM(E69:F69),0)</f>
        <v>0</v>
      </c>
    </row>
    <row r="70" spans="1:8" x14ac:dyDescent="0.2">
      <c r="A70" s="155"/>
      <c r="B70" s="156"/>
      <c r="C70" s="156"/>
      <c r="D70" s="157"/>
      <c r="E70" s="92"/>
      <c r="F70" s="92"/>
      <c r="G70" s="8"/>
      <c r="H70" s="11">
        <f>ROUND(SUM(E70:F70),0)</f>
        <v>0</v>
      </c>
    </row>
    <row r="71" spans="1:8" s="5" customFormat="1" x14ac:dyDescent="0.2">
      <c r="A71" s="151" t="s">
        <v>10</v>
      </c>
      <c r="B71" s="152"/>
      <c r="C71" s="152"/>
      <c r="D71" s="153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61">
        <f>COUNTIF(C23:C32,"GRA")</f>
        <v>0</v>
      </c>
      <c r="B73" s="161"/>
      <c r="C73" s="161"/>
      <c r="D73" s="162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1" t="s">
        <v>10</v>
      </c>
      <c r="B74" s="152"/>
      <c r="C74" s="152"/>
      <c r="D74" s="153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55"/>
      <c r="B76" s="156"/>
      <c r="C76" s="156"/>
      <c r="D76" s="157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55"/>
      <c r="B77" s="156"/>
      <c r="C77" s="156"/>
      <c r="D77" s="157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55"/>
      <c r="B78" s="156"/>
      <c r="C78" s="156"/>
      <c r="D78" s="157"/>
      <c r="E78" s="92"/>
      <c r="F78" s="92"/>
      <c r="G78" s="8"/>
      <c r="H78" s="11">
        <f>ROUND(SUM(E78:F78),0)</f>
        <v>0</v>
      </c>
    </row>
    <row r="79" spans="1:8" x14ac:dyDescent="0.2">
      <c r="A79" s="155"/>
      <c r="B79" s="156"/>
      <c r="C79" s="156"/>
      <c r="D79" s="157"/>
      <c r="E79" s="92"/>
      <c r="F79" s="92"/>
      <c r="G79" s="8"/>
      <c r="H79" s="11">
        <f>ROUND(SUM(E79:F79),0)</f>
        <v>0</v>
      </c>
    </row>
    <row r="80" spans="1:8" s="5" customFormat="1" x14ac:dyDescent="0.2">
      <c r="A80" s="151" t="s">
        <v>10</v>
      </c>
      <c r="B80" s="152"/>
      <c r="C80" s="152"/>
      <c r="D80" s="153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43" t="s">
        <v>3</v>
      </c>
      <c r="B82" s="144"/>
      <c r="C82" s="144"/>
      <c r="D82" s="145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43" t="s">
        <v>13</v>
      </c>
      <c r="B83" s="144"/>
      <c r="C83" s="144"/>
      <c r="D83" s="145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43" t="s">
        <v>15</v>
      </c>
      <c r="B84" s="144"/>
      <c r="C84" s="144"/>
      <c r="D84" s="145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194</v>
      </c>
      <c r="P84" s="8"/>
    </row>
    <row r="85" spans="1:16" x14ac:dyDescent="0.2">
      <c r="A85" s="143" t="s">
        <v>16</v>
      </c>
      <c r="B85" s="144"/>
      <c r="C85" s="144"/>
      <c r="D85" s="145"/>
      <c r="E85" s="10">
        <f>E44</f>
        <v>50000</v>
      </c>
      <c r="F85" s="10">
        <f>F44</f>
        <v>50000</v>
      </c>
      <c r="G85" s="8"/>
      <c r="H85" s="11">
        <f t="shared" si="14"/>
        <v>100000</v>
      </c>
      <c r="O85" s="127">
        <v>44378</v>
      </c>
      <c r="P85" s="128">
        <v>0.56000000000000005</v>
      </c>
    </row>
    <row r="86" spans="1:16" x14ac:dyDescent="0.2">
      <c r="A86" s="143" t="s">
        <v>18</v>
      </c>
      <c r="B86" s="144"/>
      <c r="C86" s="144"/>
      <c r="D86" s="145"/>
      <c r="E86" s="10">
        <f>E50</f>
        <v>0</v>
      </c>
      <c r="F86" s="10">
        <f>F50</f>
        <v>0</v>
      </c>
      <c r="G86" s="8"/>
      <c r="H86" s="11">
        <f t="shared" si="14"/>
        <v>0</v>
      </c>
      <c r="O86" s="127">
        <v>44409</v>
      </c>
      <c r="P86" s="128">
        <f>((11/12)*0.56)+((1/12)*0.565)</f>
        <v>0.56041666666666667</v>
      </c>
    </row>
    <row r="87" spans="1:16" x14ac:dyDescent="0.2">
      <c r="A87" s="143" t="s">
        <v>54</v>
      </c>
      <c r="B87" s="144"/>
      <c r="C87" s="144"/>
      <c r="D87" s="145"/>
      <c r="E87" s="10">
        <f>E54</f>
        <v>0</v>
      </c>
      <c r="F87" s="10">
        <f>F54</f>
        <v>0</v>
      </c>
      <c r="G87" s="8"/>
      <c r="H87" s="11">
        <f t="shared" si="14"/>
        <v>0</v>
      </c>
      <c r="O87" s="127">
        <v>44440</v>
      </c>
      <c r="P87" s="128">
        <f>((10/12)*0.56)+((2/12)*0.565)</f>
        <v>0.56083333333333341</v>
      </c>
    </row>
    <row r="88" spans="1:16" x14ac:dyDescent="0.2">
      <c r="A88" s="143" t="s">
        <v>55</v>
      </c>
      <c r="B88" s="144"/>
      <c r="C88" s="144"/>
      <c r="D88" s="145"/>
      <c r="E88" s="10">
        <f>E58</f>
        <v>0</v>
      </c>
      <c r="F88" s="10">
        <f>F58</f>
        <v>0</v>
      </c>
      <c r="G88" s="8"/>
      <c r="H88" s="11">
        <f t="shared" si="14"/>
        <v>0</v>
      </c>
      <c r="O88" s="127">
        <v>44470</v>
      </c>
      <c r="P88" s="128">
        <f>((9/12)*0.56)+((3/12)*0.565)</f>
        <v>0.56125000000000003</v>
      </c>
    </row>
    <row r="89" spans="1:16" x14ac:dyDescent="0.2">
      <c r="A89" s="143" t="s">
        <v>17</v>
      </c>
      <c r="B89" s="144"/>
      <c r="C89" s="144"/>
      <c r="D89" s="145"/>
      <c r="E89" s="10">
        <f>E65</f>
        <v>0</v>
      </c>
      <c r="F89" s="10">
        <f>F65</f>
        <v>0</v>
      </c>
      <c r="G89" s="8"/>
      <c r="H89" s="11">
        <f t="shared" si="14"/>
        <v>0</v>
      </c>
      <c r="O89" s="127">
        <v>44501</v>
      </c>
      <c r="P89" s="128">
        <f>((8/12)*0.56)+((4/12)*0.565)</f>
        <v>0.56166666666666665</v>
      </c>
    </row>
    <row r="90" spans="1:16" x14ac:dyDescent="0.2">
      <c r="A90" s="143" t="s">
        <v>19</v>
      </c>
      <c r="B90" s="144"/>
      <c r="C90" s="144"/>
      <c r="D90" s="145"/>
      <c r="E90" s="10">
        <f>E71</f>
        <v>0</v>
      </c>
      <c r="F90" s="10">
        <f>F71</f>
        <v>0</v>
      </c>
      <c r="G90" s="8"/>
      <c r="H90" s="11">
        <f t="shared" si="14"/>
        <v>0</v>
      </c>
      <c r="L90" s="140"/>
      <c r="O90" s="127">
        <v>44531</v>
      </c>
      <c r="P90" s="128">
        <f>((7/12)*0.56)+((5/12)*0.565)</f>
        <v>0.56208333333333338</v>
      </c>
    </row>
    <row r="91" spans="1:16" x14ac:dyDescent="0.2">
      <c r="A91" s="143" t="s">
        <v>20</v>
      </c>
      <c r="B91" s="144"/>
      <c r="C91" s="144"/>
      <c r="D91" s="145"/>
      <c r="E91" s="10">
        <f>E74</f>
        <v>0</v>
      </c>
      <c r="F91" s="10">
        <f>F74</f>
        <v>0</v>
      </c>
      <c r="G91" s="8"/>
      <c r="H91" s="11">
        <f t="shared" si="14"/>
        <v>0</v>
      </c>
      <c r="L91" s="140"/>
      <c r="O91" s="127">
        <v>44562</v>
      </c>
      <c r="P91" s="128">
        <f>((6/12)*0.56)+((6/12)*0.565)</f>
        <v>0.5625</v>
      </c>
    </row>
    <row r="92" spans="1:16" x14ac:dyDescent="0.2">
      <c r="A92" s="143" t="s">
        <v>21</v>
      </c>
      <c r="B92" s="144"/>
      <c r="C92" s="144"/>
      <c r="D92" s="145"/>
      <c r="E92" s="10">
        <f>E80</f>
        <v>0</v>
      </c>
      <c r="F92" s="10">
        <f>F80</f>
        <v>0</v>
      </c>
      <c r="G92" s="8"/>
      <c r="H92" s="11">
        <f t="shared" si="14"/>
        <v>0</v>
      </c>
      <c r="L92" s="140"/>
      <c r="O92" s="127">
        <v>44593</v>
      </c>
      <c r="P92" s="128">
        <f>((5/12)*0.56)+((7/12)*0.565)</f>
        <v>0.56291666666666673</v>
      </c>
    </row>
    <row r="93" spans="1:16" s="5" customFormat="1" x14ac:dyDescent="0.2">
      <c r="A93" s="151" t="s">
        <v>72</v>
      </c>
      <c r="B93" s="152"/>
      <c r="C93" s="152"/>
      <c r="D93" s="153"/>
      <c r="E93" s="13">
        <f>ROUND(SUM(E82:E92),0)</f>
        <v>50000</v>
      </c>
      <c r="F93" s="13">
        <f>ROUND(SUM(F82:F92),0)</f>
        <v>50000</v>
      </c>
      <c r="G93" s="13"/>
      <c r="H93" s="13">
        <f t="shared" si="14"/>
        <v>100000</v>
      </c>
      <c r="L93" s="141"/>
      <c r="O93" s="127">
        <v>44621</v>
      </c>
      <c r="P93" s="128">
        <f>((4/12)*0.56)+((8/12)*0.565)</f>
        <v>0.56333333333333324</v>
      </c>
    </row>
    <row r="94" spans="1:16" x14ac:dyDescent="0.2">
      <c r="L94" s="140"/>
      <c r="O94" s="127">
        <v>44652</v>
      </c>
      <c r="P94" s="128">
        <f>(0.25*0.56)+(0.75*0.565)</f>
        <v>0.56374999999999997</v>
      </c>
    </row>
    <row r="95" spans="1:16" s="5" customFormat="1" x14ac:dyDescent="0.2">
      <c r="A95" s="151" t="s">
        <v>26</v>
      </c>
      <c r="B95" s="152"/>
      <c r="C95" s="152"/>
      <c r="D95" s="153"/>
      <c r="E95" s="13">
        <f>ROUND(SUM(E82+E83+E85+E90+E92+SUBCONTRACTS!B48),0)</f>
        <v>50000</v>
      </c>
      <c r="F95" s="13">
        <f>ROUND(SUM(F82+F83+F85+F90+F92+SUBCONTRACTS!C48),0)</f>
        <v>50000</v>
      </c>
      <c r="G95" s="13"/>
      <c r="H95" s="13">
        <f>ROUND(SUM(E95:F95),0)</f>
        <v>100000</v>
      </c>
      <c r="L95" s="141"/>
      <c r="O95" s="127">
        <v>44682</v>
      </c>
      <c r="P95" s="128">
        <f>((2/12)*0.56)+((10/12)*0.565)</f>
        <v>0.56416666666666671</v>
      </c>
    </row>
    <row r="96" spans="1:16" ht="12.75" customHeight="1" x14ac:dyDescent="0.2">
      <c r="A96" s="147" t="s">
        <v>35</v>
      </c>
      <c r="B96" s="147"/>
      <c r="C96" s="147"/>
      <c r="D96" s="147"/>
      <c r="E96" s="142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2">
        <f>IF(F8=O85,P85,IF(F8=O86,P86,IF(F8=O87,P87,IF(F8=O88,P88,IF(F8=O89,P89,IF(F8=O89,P89,IF(F8=O90,P90,IF(F8=O91,P91,IF(F8=O92,P92,IF(F8=O93,P93,IF(F8=O94,P94,IF(F8=O95,P95,IF(F8=O96,P96,IF(F8=O97,P97,0.565))))))))))))))</f>
        <v>0.56499999999999995</v>
      </c>
      <c r="L96" s="140"/>
      <c r="O96" s="127">
        <v>44713</v>
      </c>
      <c r="P96" s="128">
        <f>((1/12)*0.56)+((11/12)*0.565)</f>
        <v>0.56458333333333321</v>
      </c>
    </row>
    <row r="97" spans="1:16" s="5" customFormat="1" x14ac:dyDescent="0.2">
      <c r="A97" s="151" t="s">
        <v>73</v>
      </c>
      <c r="B97" s="152"/>
      <c r="C97" s="152"/>
      <c r="D97" s="153"/>
      <c r="E97" s="13">
        <f>ROUND(E95*E96,0)</f>
        <v>28250</v>
      </c>
      <c r="F97" s="13">
        <f>ROUND(F95*F96,0)</f>
        <v>28250</v>
      </c>
      <c r="G97" s="13"/>
      <c r="H97" s="13">
        <f>ROUND(SUM(E97:F97),0)</f>
        <v>56500</v>
      </c>
      <c r="L97" s="141"/>
      <c r="O97" s="127">
        <v>44743</v>
      </c>
      <c r="P97" s="128">
        <v>0.56499999999999995</v>
      </c>
    </row>
    <row r="98" spans="1:16" x14ac:dyDescent="0.2">
      <c r="L98" s="140"/>
    </row>
    <row r="99" spans="1:16" x14ac:dyDescent="0.2">
      <c r="A99" s="148" t="s">
        <v>36</v>
      </c>
      <c r="B99" s="149"/>
      <c r="C99" s="149"/>
      <c r="D99" s="150"/>
      <c r="E99" s="21">
        <f>ROUND(SUM(E93,E97),0)</f>
        <v>78250</v>
      </c>
      <c r="F99" s="21">
        <f>ROUND(SUM(F93,F97),0)</f>
        <v>78250</v>
      </c>
      <c r="G99" s="21"/>
      <c r="H99" s="21">
        <f>ROUND(SUM(E99,F99),0)</f>
        <v>156500</v>
      </c>
    </row>
    <row r="101" spans="1:16" ht="12.75" customHeight="1" x14ac:dyDescent="0.2">
      <c r="A101" s="154" t="s">
        <v>56</v>
      </c>
      <c r="B101" s="154"/>
      <c r="C101" s="154"/>
      <c r="D101" s="154"/>
      <c r="E101" s="97">
        <v>50000</v>
      </c>
      <c r="F101" s="97">
        <v>50000</v>
      </c>
      <c r="G101" s="8"/>
      <c r="H101" s="60">
        <f>SUM(E101:F101)</f>
        <v>100000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46"/>
      <c r="B104" s="146"/>
      <c r="C104" s="146"/>
      <c r="D104" s="146"/>
      <c r="E104" s="146"/>
      <c r="F104" s="146"/>
      <c r="G104" s="146"/>
      <c r="H104" s="146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5"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A63:D63"/>
    <mergeCell ref="A53:D53"/>
    <mergeCell ref="A56:D56"/>
    <mergeCell ref="A57:D57"/>
    <mergeCell ref="A60:D60"/>
    <mergeCell ref="A61:D61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63" t="s">
        <v>66</v>
      </c>
      <c r="B2" s="163"/>
      <c r="C2" s="163"/>
      <c r="D2" s="163"/>
      <c r="E2" s="16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72" t="s">
        <v>67</v>
      </c>
      <c r="B3" s="172"/>
      <c r="C3" s="172"/>
      <c r="D3" s="172"/>
      <c r="E3" s="172"/>
    </row>
    <row r="4" spans="1:16" x14ac:dyDescent="0.2">
      <c r="A4" s="31" t="s">
        <v>25</v>
      </c>
      <c r="B4" s="171"/>
      <c r="C4" s="171"/>
      <c r="D4" s="171"/>
      <c r="E4" s="171"/>
    </row>
    <row r="5" spans="1:16" x14ac:dyDescent="0.2">
      <c r="A5" s="31" t="s">
        <v>154</v>
      </c>
      <c r="B5" s="171"/>
      <c r="C5" s="171"/>
      <c r="D5" s="171"/>
      <c r="E5" s="171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72" t="s">
        <v>68</v>
      </c>
      <c r="B12" s="172"/>
      <c r="C12" s="172"/>
      <c r="D12" s="172"/>
      <c r="E12" s="172"/>
    </row>
    <row r="13" spans="1:16" x14ac:dyDescent="0.2">
      <c r="A13" s="31" t="s">
        <v>25</v>
      </c>
      <c r="B13" s="171"/>
      <c r="C13" s="171"/>
      <c r="D13" s="171"/>
      <c r="E13" s="171"/>
    </row>
    <row r="14" spans="1:16" x14ac:dyDescent="0.2">
      <c r="A14" s="31" t="s">
        <v>154</v>
      </c>
      <c r="B14" s="171"/>
      <c r="C14" s="171"/>
      <c r="D14" s="171"/>
      <c r="E14" s="171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72" t="s">
        <v>69</v>
      </c>
      <c r="B21" s="172"/>
      <c r="C21" s="172"/>
      <c r="D21" s="172"/>
      <c r="E21" s="172"/>
    </row>
    <row r="22" spans="1:12" x14ac:dyDescent="0.2">
      <c r="A22" s="31" t="s">
        <v>25</v>
      </c>
      <c r="B22" s="171"/>
      <c r="C22" s="171"/>
      <c r="D22" s="171"/>
      <c r="E22" s="171"/>
    </row>
    <row r="23" spans="1:12" x14ac:dyDescent="0.2">
      <c r="A23" s="31" t="s">
        <v>154</v>
      </c>
      <c r="B23" s="171"/>
      <c r="C23" s="171"/>
      <c r="D23" s="171"/>
      <c r="E23" s="171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72" t="s">
        <v>70</v>
      </c>
      <c r="B30" s="172"/>
      <c r="C30" s="172"/>
      <c r="D30" s="172"/>
      <c r="E30" s="172"/>
    </row>
    <row r="31" spans="1:12" x14ac:dyDescent="0.2">
      <c r="A31" s="31" t="s">
        <v>25</v>
      </c>
      <c r="B31" s="171"/>
      <c r="C31" s="171"/>
      <c r="D31" s="171"/>
      <c r="E31" s="171"/>
    </row>
    <row r="32" spans="1:12" x14ac:dyDescent="0.2">
      <c r="A32" s="31" t="s">
        <v>154</v>
      </c>
      <c r="B32" s="171"/>
      <c r="C32" s="171"/>
      <c r="D32" s="171"/>
      <c r="E32" s="171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72" t="s">
        <v>71</v>
      </c>
      <c r="B39" s="172"/>
      <c r="C39" s="172"/>
      <c r="D39" s="172"/>
      <c r="E39" s="172"/>
    </row>
    <row r="40" spans="1:12" x14ac:dyDescent="0.2">
      <c r="A40" s="31" t="s">
        <v>25</v>
      </c>
      <c r="B40" s="171"/>
      <c r="C40" s="171"/>
      <c r="D40" s="171"/>
      <c r="E40" s="171"/>
    </row>
    <row r="41" spans="1:12" x14ac:dyDescent="0.2">
      <c r="A41" s="31" t="s">
        <v>154</v>
      </c>
      <c r="B41" s="171"/>
      <c r="C41" s="171"/>
      <c r="D41" s="171"/>
      <c r="E41" s="171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63" t="s">
        <v>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4" spans="1:19" ht="15" x14ac:dyDescent="0.25">
      <c r="A4" s="174" t="s">
        <v>90</v>
      </c>
      <c r="B4" s="175"/>
      <c r="C4" s="175"/>
      <c r="D4" s="175"/>
      <c r="E4" s="175"/>
      <c r="F4" s="176"/>
      <c r="K4" s="129" t="s">
        <v>186</v>
      </c>
      <c r="L4" s="130" t="s">
        <v>193</v>
      </c>
    </row>
    <row r="5" spans="1:19" x14ac:dyDescent="0.2">
      <c r="A5" s="177" t="s">
        <v>91</v>
      </c>
      <c r="B5" s="177"/>
      <c r="C5" s="177"/>
      <c r="D5" s="178">
        <f>'MAIN SHEET'!B4</f>
        <v>0</v>
      </c>
      <c r="E5" s="178"/>
      <c r="F5" s="178"/>
      <c r="K5" s="129" t="s">
        <v>187</v>
      </c>
      <c r="L5" s="131">
        <v>43550</v>
      </c>
    </row>
    <row r="6" spans="1:19" x14ac:dyDescent="0.2">
      <c r="A6" s="177" t="s">
        <v>92</v>
      </c>
      <c r="B6" s="177"/>
      <c r="C6" s="177"/>
      <c r="D6" s="179" t="str">
        <f>TEXT('MAIN SHEET'!B5, "mm/dd/yyyy")&amp;" - "&amp;TEXT('MAIN SHEET'!B6, "mm/dd/yyyy")</f>
        <v>07/01/2022 - 06/30/2024</v>
      </c>
      <c r="E6" s="179"/>
      <c r="F6" s="179"/>
    </row>
    <row r="7" spans="1:19" ht="15" x14ac:dyDescent="0.2">
      <c r="A7" s="177" t="s">
        <v>93</v>
      </c>
      <c r="B7" s="177"/>
      <c r="C7" s="177"/>
      <c r="D7" s="180">
        <f>'MAIN SHEET'!H99</f>
        <v>156500</v>
      </c>
      <c r="E7" s="180"/>
      <c r="F7" s="180"/>
      <c r="K7" s="136" t="s">
        <v>188</v>
      </c>
    </row>
    <row r="8" spans="1:19" x14ac:dyDescent="0.2">
      <c r="A8" s="177" t="s">
        <v>94</v>
      </c>
      <c r="B8" s="177"/>
      <c r="C8" s="177"/>
      <c r="D8" s="180">
        <f>D7</f>
        <v>156500</v>
      </c>
      <c r="E8" s="180"/>
      <c r="F8" s="180"/>
    </row>
    <row r="11" spans="1:19" x14ac:dyDescent="0.2">
      <c r="A11" s="174" t="s">
        <v>74</v>
      </c>
      <c r="B11" s="175"/>
      <c r="C11" s="175"/>
      <c r="D11" s="175"/>
      <c r="E11" s="175"/>
      <c r="F11" s="176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44743</v>
      </c>
      <c r="B13" s="65">
        <f>'MAIN SHEET'!E9</f>
        <v>45107</v>
      </c>
      <c r="C13" s="177" t="s">
        <v>75</v>
      </c>
      <c r="D13" s="177"/>
      <c r="E13" s="177"/>
      <c r="F13" s="66">
        <f>'MAIN SHEET'!E93-SUBCONTRACTS!B51</f>
        <v>50000</v>
      </c>
    </row>
    <row r="14" spans="1:19" x14ac:dyDescent="0.2">
      <c r="A14" s="177" t="s">
        <v>53</v>
      </c>
      <c r="B14" s="177"/>
      <c r="C14" s="177"/>
      <c r="D14" s="177"/>
      <c r="E14" s="177"/>
      <c r="F14" s="66">
        <f>SUBCONTRACTS!B51</f>
        <v>0</v>
      </c>
      <c r="I14" s="1"/>
    </row>
    <row r="15" spans="1:19" x14ac:dyDescent="0.2">
      <c r="A15" s="177" t="s">
        <v>77</v>
      </c>
      <c r="B15" s="177"/>
      <c r="C15" s="177"/>
      <c r="D15" s="177"/>
      <c r="E15" s="177"/>
      <c r="F15" s="66">
        <f>SUM(F13:F14)</f>
        <v>50000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81" t="s">
        <v>185</v>
      </c>
      <c r="I17" s="181"/>
      <c r="J17" s="181"/>
      <c r="K17" s="181"/>
    </row>
    <row r="18" spans="1:11" x14ac:dyDescent="0.2">
      <c r="C18" s="64" t="s">
        <v>81</v>
      </c>
      <c r="D18" s="67">
        <f>IF(OR(A13=H18,A13=H19,A13=H20),0.56,0.565)</f>
        <v>0.56499999999999995</v>
      </c>
      <c r="E18" s="135">
        <f>IF(A13=H18,'MAIN SHEET'!E95*J18,IF(A13=H19,'MAIN SHEET'!E95*J19,IF(A13=H20,'MAIN SHEET'!E95*J20,'MAIN SHEET'!E95)))</f>
        <v>50000</v>
      </c>
      <c r="F18" s="66">
        <f>D18*E18</f>
        <v>28249.999999999996</v>
      </c>
      <c r="H18" s="127">
        <v>44652</v>
      </c>
      <c r="I18" s="128">
        <f>(0.25*0.56)+(0.75*0.565)</f>
        <v>0.56374999999999997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IF(OR(A13=H18,A13=H19,A13=H20),0.565,"")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44682</v>
      </c>
      <c r="I19" s="128">
        <f>((2/12)*0.56)+((10/12)*0.565)</f>
        <v>0.56416666666666671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44713</v>
      </c>
      <c r="I20" s="128">
        <f>((1/12)*0.56)+((11/12)*0.565)</f>
        <v>0.56458333333333321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4" t="s">
        <v>82</v>
      </c>
      <c r="B21" s="175"/>
      <c r="C21" s="175"/>
      <c r="D21" s="175"/>
      <c r="E21" s="175"/>
      <c r="F21" s="176"/>
      <c r="H21" s="127">
        <v>44743</v>
      </c>
      <c r="I21" s="128">
        <v>0.56499999999999995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45108</v>
      </c>
      <c r="B23" s="65">
        <f>'MAIN SHEET'!F9</f>
        <v>45473</v>
      </c>
      <c r="C23" s="177" t="s">
        <v>75</v>
      </c>
      <c r="D23" s="177"/>
      <c r="E23" s="177"/>
      <c r="F23" s="66">
        <f>'MAIN SHEET'!F93-SUBCONTRACTS!C51</f>
        <v>50000</v>
      </c>
    </row>
    <row r="24" spans="1:11" x14ac:dyDescent="0.2">
      <c r="A24" s="177" t="s">
        <v>53</v>
      </c>
      <c r="B24" s="177"/>
      <c r="C24" s="177"/>
      <c r="D24" s="177"/>
      <c r="E24" s="177"/>
      <c r="F24" s="66">
        <f>SUBCONTRACTS!C51</f>
        <v>0</v>
      </c>
    </row>
    <row r="25" spans="1:11" x14ac:dyDescent="0.2">
      <c r="A25" s="177" t="s">
        <v>77</v>
      </c>
      <c r="B25" s="177"/>
      <c r="C25" s="177"/>
      <c r="D25" s="177"/>
      <c r="E25" s="177"/>
      <c r="F25" s="66">
        <f>SUM(F23:F24)</f>
        <v>50000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0.56499999999999995</v>
      </c>
      <c r="E28" s="66">
        <f>'MAIN SHEET'!F95</f>
        <v>50000</v>
      </c>
      <c r="F28" s="66">
        <f>'MAIN SHEET'!F97</f>
        <v>28250</v>
      </c>
    </row>
    <row r="29" spans="1:11" x14ac:dyDescent="0.2">
      <c r="C29" s="63"/>
      <c r="D29" s="67"/>
      <c r="E29" s="66"/>
      <c r="F29" s="66"/>
    </row>
    <row r="31" spans="1:11" x14ac:dyDescent="0.2">
      <c r="A31" s="174" t="s">
        <v>83</v>
      </c>
      <c r="B31" s="175"/>
      <c r="C31" s="175"/>
      <c r="D31" s="175"/>
      <c r="E31" s="175"/>
      <c r="F31" s="176"/>
    </row>
    <row r="32" spans="1:11" x14ac:dyDescent="0.2">
      <c r="A32" s="173" t="s">
        <v>84</v>
      </c>
      <c r="B32" s="173"/>
      <c r="C32" s="173"/>
      <c r="D32" s="173"/>
      <c r="E32" s="173"/>
      <c r="F32" s="66">
        <f>'MAIN SHEET'!H93-SUBCONTRACTS!E51</f>
        <v>100000</v>
      </c>
    </row>
    <row r="33" spans="1:6" x14ac:dyDescent="0.2">
      <c r="A33" s="173" t="s">
        <v>85</v>
      </c>
      <c r="B33" s="173"/>
      <c r="C33" s="173"/>
      <c r="D33" s="173"/>
      <c r="E33" s="173"/>
      <c r="F33" s="66">
        <f>SUBCONTRACTS!E51</f>
        <v>0</v>
      </c>
    </row>
    <row r="34" spans="1:6" x14ac:dyDescent="0.2">
      <c r="A34" s="173" t="s">
        <v>86</v>
      </c>
      <c r="B34" s="173"/>
      <c r="C34" s="173"/>
      <c r="D34" s="173"/>
      <c r="E34" s="173"/>
      <c r="F34" s="66">
        <f>'MAIN SHEET'!H93</f>
        <v>100000</v>
      </c>
    </row>
    <row r="35" spans="1:6" x14ac:dyDescent="0.2">
      <c r="A35" s="173" t="s">
        <v>87</v>
      </c>
      <c r="B35" s="173"/>
      <c r="C35" s="173"/>
      <c r="D35" s="173"/>
      <c r="E35" s="173"/>
      <c r="F35" s="66">
        <f>'MAIN SHEET'!H97</f>
        <v>56500</v>
      </c>
    </row>
    <row r="36" spans="1:6" x14ac:dyDescent="0.2">
      <c r="A36" s="173" t="s">
        <v>88</v>
      </c>
      <c r="B36" s="173"/>
      <c r="C36" s="173"/>
      <c r="D36" s="173"/>
      <c r="E36" s="173"/>
      <c r="F36" s="66">
        <f>'MAIN SHEET'!H99</f>
        <v>156500</v>
      </c>
    </row>
  </sheetData>
  <mergeCells count="25">
    <mergeCell ref="C23:E23"/>
    <mergeCell ref="A24:E24"/>
    <mergeCell ref="A2:S2"/>
    <mergeCell ref="C13:E13"/>
    <mergeCell ref="A11:F11"/>
    <mergeCell ref="A14:E14"/>
    <mergeCell ref="D7:F7"/>
    <mergeCell ref="D8:F8"/>
    <mergeCell ref="H17:K17"/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82" t="s">
        <v>166</v>
      </c>
      <c r="B2" s="182"/>
      <c r="C2" s="182"/>
      <c r="D2" s="182"/>
    </row>
    <row r="3" spans="1:11" ht="15" x14ac:dyDescent="0.25">
      <c r="A3" s="182"/>
      <c r="B3" s="182"/>
      <c r="C3" s="182"/>
      <c r="D3" s="182"/>
    </row>
    <row r="4" spans="1:11" ht="14.25" x14ac:dyDescent="0.2">
      <c r="A4" s="183" t="s">
        <v>167</v>
      </c>
      <c r="B4" s="183"/>
      <c r="C4" s="183"/>
      <c r="D4" s="183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83" t="s">
        <v>184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63" t="s">
        <v>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4" spans="1:17" ht="12" x14ac:dyDescent="0.2">
      <c r="A4" s="186" t="s">
        <v>97</v>
      </c>
      <c r="B4" s="187"/>
      <c r="C4" s="187"/>
      <c r="D4" s="187"/>
      <c r="E4" s="187"/>
      <c r="F4" s="187"/>
    </row>
    <row r="5" spans="1:17" ht="12" x14ac:dyDescent="0.2">
      <c r="A5" s="3" t="str">
        <f>TEXT('MAIN SHEET'!B5, "mm/dd/yyyy")&amp;" - "&amp;TEXT('MAIN SHEET'!B6, "mm/dd/yyyy")</f>
        <v>07/01/2022 - 06/30/2024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4" t="s">
        <v>99</v>
      </c>
      <c r="E7" s="185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100000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100000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100000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56500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156500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9" t="s">
        <v>103</v>
      </c>
      <c r="B33" s="189"/>
      <c r="C33" s="189"/>
      <c r="D33" s="189"/>
      <c r="E33" s="189"/>
      <c r="F33" s="189"/>
      <c r="G33" s="3"/>
      <c r="H33" s="3"/>
      <c r="I33" s="3"/>
    </row>
    <row r="34" spans="1:9" ht="12" x14ac:dyDescent="0.2">
      <c r="A34" s="188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8"/>
      <c r="C34" s="188"/>
      <c r="D34" s="188"/>
      <c r="E34" s="188"/>
      <c r="F34" s="188"/>
      <c r="G34" s="3"/>
      <c r="H34" s="3"/>
      <c r="I34" s="3"/>
    </row>
    <row r="35" spans="1:9" ht="12" x14ac:dyDescent="0.2">
      <c r="A35" s="158" t="str">
        <f>IF('MAIN SHEET'!A104="","","2) "&amp;'MAIN SHEET'!A104)</f>
        <v/>
      </c>
      <c r="B35" s="160"/>
      <c r="C35" s="160"/>
      <c r="D35" s="160"/>
      <c r="E35" s="160"/>
      <c r="F35" s="159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81" t="s">
        <v>106</v>
      </c>
      <c r="C38" s="181"/>
      <c r="D38" s="181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90" t="str">
        <f>IF(SUBCONTRACTS!B5="","",SUBCONTRACTS!B5)</f>
        <v/>
      </c>
      <c r="C39" s="190"/>
      <c r="D39" s="190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90" t="str">
        <f>IF(SUBCONTRACTS!B14="","",SUBCONTRACTS!B14)</f>
        <v/>
      </c>
      <c r="C40" s="190"/>
      <c r="D40" s="190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90" t="str">
        <f>IF(SUBCONTRACTS!B23="","",SUBCONTRACTS!B23)</f>
        <v/>
      </c>
      <c r="C41" s="190"/>
      <c r="D41" s="190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90" t="str">
        <f>IF(SUBCONTRACTS!B32="","",SUBCONTRACTS!B32)</f>
        <v/>
      </c>
      <c r="C42" s="190"/>
      <c r="D42" s="190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90" t="str">
        <f>IF(SUBCONTRACTS!B41="","",SUBCONTRACTS!B41)</f>
        <v/>
      </c>
      <c r="C43" s="190"/>
      <c r="D43" s="190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 Duane</cp:lastModifiedBy>
  <cp:lastPrinted>2012-05-07T12:30:47Z</cp:lastPrinted>
  <dcterms:created xsi:type="dcterms:W3CDTF">2010-01-07T15:31:41Z</dcterms:created>
  <dcterms:modified xsi:type="dcterms:W3CDTF">2023-12-01T17:05:18Z</dcterms:modified>
</cp:coreProperties>
</file>