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PRIVATE\DOM\Grants\Forms\Budget temps\"/>
    </mc:Choice>
  </mc:AlternateContent>
  <bookViews>
    <workbookView xWindow="0" yWindow="0" windowWidth="25200" windowHeight="12435" tabRatio="685"/>
  </bookViews>
  <sheets>
    <sheet name="MAIN SHEET" sheetId="1" r:id="rId1"/>
    <sheet name="SUBCONTRACTS" sheetId="4" r:id="rId2"/>
    <sheet name="NIH 424 ITEMS" sheetId="8" r:id="rId3"/>
    <sheet name="ADDL NARR JUSTIF" sheetId="10" r:id="rId4"/>
    <sheet name="PCF BUDGET INFO" sheetId="5" r:id="rId5"/>
    <sheet name="INSTRUCTIONS" sheetId="7" r:id="rId6"/>
  </sheets>
  <definedNames>
    <definedName name="COLs">#REF!</definedName>
  </definedNames>
  <calcPr calcId="162913"/>
</workbook>
</file>

<file path=xl/calcChain.xml><?xml version="1.0" encoding="utf-8"?>
<calcChain xmlns="http://schemas.openxmlformats.org/spreadsheetml/2006/main">
  <c r="D18" i="8" l="1"/>
  <c r="D19" i="8"/>
  <c r="I20" i="8" l="1"/>
  <c r="I19" i="8"/>
  <c r="I18" i="8"/>
  <c r="P96" i="1"/>
  <c r="P95" i="1"/>
  <c r="P94" i="1"/>
  <c r="E8" i="1"/>
  <c r="E96" i="1" s="1"/>
  <c r="A13" i="8" l="1"/>
  <c r="J20" i="8"/>
  <c r="K20" i="8" s="1"/>
  <c r="J19" i="8"/>
  <c r="K19" i="8" s="1"/>
  <c r="J18" i="8"/>
  <c r="K18" i="8" s="1"/>
  <c r="I80" i="1"/>
  <c r="H80" i="1"/>
  <c r="G80" i="1"/>
  <c r="F80" i="1"/>
  <c r="E80" i="1"/>
  <c r="K80" i="1" s="1"/>
  <c r="K79" i="1"/>
  <c r="K78" i="1"/>
  <c r="K77" i="1"/>
  <c r="K76" i="1"/>
  <c r="I71" i="1"/>
  <c r="H71" i="1"/>
  <c r="G71" i="1"/>
  <c r="F71" i="1"/>
  <c r="E71" i="1"/>
  <c r="K71" i="1"/>
  <c r="B14" i="5" s="1"/>
  <c r="K70" i="1"/>
  <c r="K69" i="1"/>
  <c r="K68" i="1"/>
  <c r="K67" i="1"/>
  <c r="I58" i="1"/>
  <c r="H58" i="1"/>
  <c r="G58" i="1"/>
  <c r="K58" i="1" s="1"/>
  <c r="B21" i="5" s="1"/>
  <c r="F58" i="1"/>
  <c r="E58" i="1"/>
  <c r="K57" i="1"/>
  <c r="K56" i="1"/>
  <c r="I54" i="1"/>
  <c r="H54" i="1"/>
  <c r="E7" i="10" s="1"/>
  <c r="G7" i="10" s="1"/>
  <c r="G54" i="1"/>
  <c r="F54" i="1"/>
  <c r="E54" i="1"/>
  <c r="K54" i="1"/>
  <c r="B11" i="5" s="1"/>
  <c r="B20" i="5" s="1"/>
  <c r="K53" i="1"/>
  <c r="K52" i="1"/>
  <c r="I50" i="1"/>
  <c r="H50" i="1"/>
  <c r="G50" i="1"/>
  <c r="F50" i="1"/>
  <c r="C9" i="10" s="1"/>
  <c r="G9" i="10" s="1"/>
  <c r="E50" i="1"/>
  <c r="K50" i="1" s="1"/>
  <c r="B22" i="5" s="1"/>
  <c r="K49" i="1"/>
  <c r="K48" i="1"/>
  <c r="K47" i="1"/>
  <c r="K46" i="1"/>
  <c r="I41" i="1"/>
  <c r="F6" i="10" s="1"/>
  <c r="G6" i="10" s="1"/>
  <c r="H41" i="1"/>
  <c r="G41" i="1"/>
  <c r="F41" i="1"/>
  <c r="K41" i="1"/>
  <c r="B10" i="5" s="1"/>
  <c r="B19" i="5" s="1"/>
  <c r="E41" i="1"/>
  <c r="D9" i="10"/>
  <c r="E9" i="10"/>
  <c r="F9" i="10"/>
  <c r="B9" i="10"/>
  <c r="C8" i="10"/>
  <c r="E8" i="10"/>
  <c r="F8" i="10"/>
  <c r="B8" i="10"/>
  <c r="C7" i="10"/>
  <c r="D7" i="10"/>
  <c r="F7" i="10"/>
  <c r="B7" i="10"/>
  <c r="C6" i="10"/>
  <c r="D6" i="10"/>
  <c r="E6" i="10"/>
  <c r="B6" i="10"/>
  <c r="D32" i="1"/>
  <c r="D31" i="1"/>
  <c r="D30" i="1"/>
  <c r="D29" i="1"/>
  <c r="D28" i="1"/>
  <c r="D27" i="1"/>
  <c r="D26" i="1"/>
  <c r="D25" i="1"/>
  <c r="D24" i="1"/>
  <c r="D23" i="1"/>
  <c r="N20" i="1"/>
  <c r="O20" i="1" s="1"/>
  <c r="N19" i="1"/>
  <c r="O19" i="1" s="1"/>
  <c r="O31" i="1" s="1"/>
  <c r="N18" i="1"/>
  <c r="O18" i="1" s="1"/>
  <c r="N17" i="1"/>
  <c r="O17" i="1" s="1"/>
  <c r="N16" i="1"/>
  <c r="O16" i="1" s="1"/>
  <c r="N15" i="1"/>
  <c r="O15" i="1" s="1"/>
  <c r="O27" i="1" s="1"/>
  <c r="N14" i="1"/>
  <c r="O14" i="1" s="1"/>
  <c r="N13" i="1"/>
  <c r="O13" i="1" s="1"/>
  <c r="N12" i="1"/>
  <c r="O12" i="1" s="1"/>
  <c r="N11" i="1"/>
  <c r="O11" i="1" s="1"/>
  <c r="P11" i="1" s="1"/>
  <c r="C20" i="1"/>
  <c r="E20" i="1" s="1"/>
  <c r="C19" i="1"/>
  <c r="C18" i="1"/>
  <c r="E18" i="1" s="1"/>
  <c r="C17" i="1"/>
  <c r="C16" i="1"/>
  <c r="C15" i="1"/>
  <c r="E15" i="1" s="1"/>
  <c r="C14" i="1"/>
  <c r="E14" i="1" s="1"/>
  <c r="C13" i="1"/>
  <c r="E13" i="1" s="1"/>
  <c r="C12" i="1"/>
  <c r="C11" i="1"/>
  <c r="E11" i="1" s="1"/>
  <c r="F51" i="4"/>
  <c r="E51" i="4"/>
  <c r="F44" i="8" s="1"/>
  <c r="D51" i="4"/>
  <c r="C51" i="4"/>
  <c r="B51" i="4"/>
  <c r="F8" i="1"/>
  <c r="B50" i="4"/>
  <c r="A73" i="1"/>
  <c r="E73" i="1" s="1"/>
  <c r="E84" i="1"/>
  <c r="E86" i="1"/>
  <c r="E87" i="1"/>
  <c r="E88" i="1"/>
  <c r="K88" i="1"/>
  <c r="E90" i="1"/>
  <c r="E92" i="1"/>
  <c r="B9" i="4"/>
  <c r="E39" i="5"/>
  <c r="B10" i="4"/>
  <c r="B18" i="4"/>
  <c r="B19" i="4" s="1"/>
  <c r="B27" i="4"/>
  <c r="C28" i="4" s="1"/>
  <c r="B36" i="4"/>
  <c r="B37" i="4" s="1"/>
  <c r="B45" i="4"/>
  <c r="C46" i="4" s="1"/>
  <c r="F8" i="5"/>
  <c r="F9" i="5" s="1"/>
  <c r="C9" i="4"/>
  <c r="C18" i="4"/>
  <c r="C27" i="4"/>
  <c r="C36" i="4"/>
  <c r="C45" i="4"/>
  <c r="D9" i="4"/>
  <c r="D18" i="4"/>
  <c r="D27" i="4"/>
  <c r="D28" i="4" s="1"/>
  <c r="D36" i="4"/>
  <c r="D45" i="4"/>
  <c r="E9" i="4"/>
  <c r="E18" i="4"/>
  <c r="H61" i="1" s="1"/>
  <c r="E27" i="4"/>
  <c r="E36" i="4"/>
  <c r="E45" i="4"/>
  <c r="H64" i="1" s="1"/>
  <c r="F9" i="4"/>
  <c r="F18" i="4"/>
  <c r="F52" i="4" s="1"/>
  <c r="F27" i="4"/>
  <c r="I62" i="1" s="1"/>
  <c r="F36" i="4"/>
  <c r="I63" i="1" s="1"/>
  <c r="F45" i="4"/>
  <c r="F88" i="1"/>
  <c r="G88" i="1"/>
  <c r="F87" i="1"/>
  <c r="K87" i="1" s="1"/>
  <c r="F90" i="1"/>
  <c r="F92" i="1"/>
  <c r="C50" i="4"/>
  <c r="F84" i="1"/>
  <c r="K84" i="1" s="1"/>
  <c r="G87" i="1"/>
  <c r="G86" i="1"/>
  <c r="G92" i="1"/>
  <c r="D50" i="4"/>
  <c r="H50" i="4" s="1"/>
  <c r="G84" i="1"/>
  <c r="H86" i="1"/>
  <c r="H88" i="1"/>
  <c r="H90" i="1"/>
  <c r="H92" i="1"/>
  <c r="E50" i="4"/>
  <c r="H84" i="1"/>
  <c r="I87" i="1"/>
  <c r="I86" i="1"/>
  <c r="I88" i="1"/>
  <c r="I90" i="1"/>
  <c r="I92" i="1"/>
  <c r="K92" i="1" s="1"/>
  <c r="F50" i="4"/>
  <c r="I84" i="1"/>
  <c r="C10" i="4"/>
  <c r="C19" i="4"/>
  <c r="C48" i="4" s="1"/>
  <c r="C49" i="4" s="1"/>
  <c r="C10" i="10" s="1"/>
  <c r="C37" i="4"/>
  <c r="D10" i="4"/>
  <c r="D37" i="4"/>
  <c r="E10" i="4"/>
  <c r="E37" i="4"/>
  <c r="F10" i="4"/>
  <c r="F28" i="4"/>
  <c r="E60" i="1"/>
  <c r="E61" i="1"/>
  <c r="K61" i="1" s="1"/>
  <c r="F60" i="1"/>
  <c r="F65" i="1" s="1"/>
  <c r="F89" i="1" s="1"/>
  <c r="F61" i="1"/>
  <c r="F62" i="1"/>
  <c r="F63" i="1"/>
  <c r="F64" i="1"/>
  <c r="G60" i="1"/>
  <c r="G65" i="1" s="1"/>
  <c r="G89" i="1" s="1"/>
  <c r="G61" i="1"/>
  <c r="G62" i="1"/>
  <c r="G63" i="1"/>
  <c r="G64" i="1"/>
  <c r="H60" i="1"/>
  <c r="H65" i="1" s="1"/>
  <c r="H89" i="1" s="1"/>
  <c r="H62" i="1"/>
  <c r="H63" i="1"/>
  <c r="I60" i="1"/>
  <c r="I65" i="1" s="1"/>
  <c r="I89" i="1" s="1"/>
  <c r="I61" i="1"/>
  <c r="I64" i="1"/>
  <c r="E43" i="5"/>
  <c r="E41" i="5"/>
  <c r="B43" i="5"/>
  <c r="B42" i="5"/>
  <c r="A43" i="5"/>
  <c r="A42" i="5"/>
  <c r="A41" i="5"/>
  <c r="H9" i="4"/>
  <c r="F39" i="5"/>
  <c r="B41" i="5"/>
  <c r="B40" i="5"/>
  <c r="A40" i="5"/>
  <c r="B39" i="5"/>
  <c r="A39" i="5"/>
  <c r="A35" i="5"/>
  <c r="D5" i="8"/>
  <c r="H51" i="4"/>
  <c r="F63" i="8" s="1"/>
  <c r="F54" i="8"/>
  <c r="F34" i="8"/>
  <c r="F24" i="8"/>
  <c r="F14" i="8"/>
  <c r="K101" i="1"/>
  <c r="A64" i="1"/>
  <c r="A63" i="1"/>
  <c r="A62" i="1"/>
  <c r="A61" i="1"/>
  <c r="A60" i="1"/>
  <c r="O8" i="1"/>
  <c r="H44" i="4"/>
  <c r="H43" i="4"/>
  <c r="K36" i="1"/>
  <c r="K37" i="1"/>
  <c r="K38" i="1"/>
  <c r="K39" i="1"/>
  <c r="A24" i="1"/>
  <c r="A25" i="1"/>
  <c r="A26" i="1"/>
  <c r="A27" i="1"/>
  <c r="A28" i="1"/>
  <c r="A29" i="1"/>
  <c r="A30" i="1"/>
  <c r="A31" i="1"/>
  <c r="A32" i="1"/>
  <c r="A23" i="1"/>
  <c r="V24" i="1"/>
  <c r="V25" i="1"/>
  <c r="V26" i="1"/>
  <c r="V27" i="1"/>
  <c r="V28" i="1"/>
  <c r="V29" i="1"/>
  <c r="V30" i="1"/>
  <c r="V31" i="1"/>
  <c r="V32" i="1"/>
  <c r="V23" i="1"/>
  <c r="N29" i="1"/>
  <c r="N30" i="1"/>
  <c r="L12" i="1"/>
  <c r="L13" i="1"/>
  <c r="L14" i="1"/>
  <c r="L15" i="1"/>
  <c r="L16" i="1"/>
  <c r="L17" i="1"/>
  <c r="L18" i="1"/>
  <c r="L19" i="1"/>
  <c r="L20" i="1"/>
  <c r="L11" i="1"/>
  <c r="H35" i="4"/>
  <c r="H34" i="4"/>
  <c r="H26" i="4"/>
  <c r="H25" i="4"/>
  <c r="H17" i="4"/>
  <c r="H16" i="4"/>
  <c r="H8" i="4"/>
  <c r="H7" i="4"/>
  <c r="K40" i="1"/>
  <c r="K35" i="1"/>
  <c r="F86" i="1"/>
  <c r="K86" i="1" s="1"/>
  <c r="C52" i="4"/>
  <c r="H87" i="1"/>
  <c r="E40" i="5"/>
  <c r="N25" i="1"/>
  <c r="G90" i="1"/>
  <c r="K90" i="1" s="1"/>
  <c r="N26" i="1"/>
  <c r="A34" i="5"/>
  <c r="N31" i="1"/>
  <c r="E19" i="1"/>
  <c r="E31" i="1" s="1"/>
  <c r="E12" i="1"/>
  <c r="E24" i="1" s="1"/>
  <c r="E16" i="1"/>
  <c r="F16" i="1" s="1"/>
  <c r="E17" i="1"/>
  <c r="E29" i="1" s="1"/>
  <c r="F12" i="1"/>
  <c r="F24" i="1" s="1"/>
  <c r="E28" i="1"/>
  <c r="E19" i="8" l="1"/>
  <c r="F19" i="8" s="1"/>
  <c r="G8" i="1"/>
  <c r="G96" i="1" s="1"/>
  <c r="D38" i="8" s="1"/>
  <c r="F96" i="1"/>
  <c r="D28" i="8" s="1"/>
  <c r="N23" i="1"/>
  <c r="N27" i="1"/>
  <c r="G12" i="1"/>
  <c r="G24" i="1" s="1"/>
  <c r="F19" i="1"/>
  <c r="O23" i="1"/>
  <c r="N28" i="1"/>
  <c r="N32" i="1"/>
  <c r="N24" i="1"/>
  <c r="E74" i="1"/>
  <c r="B11" i="10" s="1"/>
  <c r="F73" i="1"/>
  <c r="E27" i="1"/>
  <c r="F15" i="1"/>
  <c r="E30" i="1"/>
  <c r="F18" i="1"/>
  <c r="F30" i="1" s="1"/>
  <c r="P14" i="1"/>
  <c r="O26" i="1"/>
  <c r="K60" i="1"/>
  <c r="E42" i="5"/>
  <c r="H36" i="4"/>
  <c r="F42" i="5" s="1"/>
  <c r="E64" i="1"/>
  <c r="K64" i="1" s="1"/>
  <c r="F19" i="4"/>
  <c r="E19" i="4"/>
  <c r="D19" i="4"/>
  <c r="D48" i="4" s="1"/>
  <c r="D49" i="4" s="1"/>
  <c r="D10" i="10" s="1"/>
  <c r="B46" i="4"/>
  <c r="B28" i="4"/>
  <c r="B48" i="4" s="1"/>
  <c r="P8" i="1"/>
  <c r="A23" i="8"/>
  <c r="E9" i="1"/>
  <c r="D52" i="4"/>
  <c r="H18" i="4"/>
  <c r="F40" i="5" s="1"/>
  <c r="E63" i="1"/>
  <c r="K63" i="1" s="1"/>
  <c r="F46" i="4"/>
  <c r="E52" i="4"/>
  <c r="D8" i="10"/>
  <c r="G8" i="10" s="1"/>
  <c r="B52" i="4"/>
  <c r="E28" i="4"/>
  <c r="H27" i="4"/>
  <c r="F41" i="5" s="1"/>
  <c r="H45" i="4"/>
  <c r="F43" i="5" s="1"/>
  <c r="E62" i="1"/>
  <c r="K62" i="1" s="1"/>
  <c r="F37" i="4"/>
  <c r="E46" i="4"/>
  <c r="D46" i="4"/>
  <c r="P12" i="1"/>
  <c r="O24" i="1"/>
  <c r="F13" i="1"/>
  <c r="E25" i="1"/>
  <c r="F17" i="1"/>
  <c r="F29" i="1" s="1"/>
  <c r="F28" i="1"/>
  <c r="G16" i="1"/>
  <c r="P18" i="1"/>
  <c r="O30" i="1"/>
  <c r="F11" i="1"/>
  <c r="E21" i="1"/>
  <c r="E23" i="1"/>
  <c r="E26" i="1"/>
  <c r="F14" i="1"/>
  <c r="F20" i="1"/>
  <c r="E32" i="1"/>
  <c r="P13" i="1"/>
  <c r="O25" i="1"/>
  <c r="O21" i="1"/>
  <c r="O28" i="1"/>
  <c r="P16" i="1"/>
  <c r="P20" i="1"/>
  <c r="O32" i="1"/>
  <c r="Q11" i="1"/>
  <c r="P23" i="1"/>
  <c r="O29" i="1"/>
  <c r="P17" i="1"/>
  <c r="H12" i="1"/>
  <c r="G17" i="1"/>
  <c r="G18" i="1"/>
  <c r="P15" i="1"/>
  <c r="P19" i="1"/>
  <c r="C19" i="8"/>
  <c r="A33" i="8" l="1"/>
  <c r="F9" i="1"/>
  <c r="B23" i="8" s="1"/>
  <c r="Q8" i="1"/>
  <c r="H8" i="1"/>
  <c r="H96" i="1" s="1"/>
  <c r="D48" i="8" s="1"/>
  <c r="G19" i="1"/>
  <c r="F31" i="1"/>
  <c r="B49" i="4"/>
  <c r="E91" i="1"/>
  <c r="F48" i="4"/>
  <c r="F49" i="4" s="1"/>
  <c r="F10" i="10" s="1"/>
  <c r="F74" i="1"/>
  <c r="G73" i="1"/>
  <c r="B13" i="8"/>
  <c r="O9" i="1"/>
  <c r="H52" i="4"/>
  <c r="P26" i="1"/>
  <c r="Q14" i="1"/>
  <c r="G15" i="1"/>
  <c r="F27" i="1"/>
  <c r="E48" i="4"/>
  <c r="E49" i="4" s="1"/>
  <c r="E10" i="10" s="1"/>
  <c r="E65" i="1"/>
  <c r="F25" i="1"/>
  <c r="G13" i="1"/>
  <c r="P24" i="1"/>
  <c r="Q12" i="1"/>
  <c r="H18" i="1"/>
  <c r="G30" i="1"/>
  <c r="R11" i="1"/>
  <c r="Q23" i="1"/>
  <c r="F23" i="1"/>
  <c r="G11" i="1"/>
  <c r="F21" i="1"/>
  <c r="F82" i="1" s="1"/>
  <c r="H17" i="1"/>
  <c r="G29" i="1"/>
  <c r="P28" i="1"/>
  <c r="Q16" i="1"/>
  <c r="O33" i="1"/>
  <c r="F32" i="1"/>
  <c r="G20" i="1"/>
  <c r="E33" i="1"/>
  <c r="Q19" i="1"/>
  <c r="P31" i="1"/>
  <c r="H24" i="1"/>
  <c r="I12" i="1"/>
  <c r="I24" i="1" s="1"/>
  <c r="Q13" i="1"/>
  <c r="P25" i="1"/>
  <c r="F26" i="1"/>
  <c r="G14" i="1"/>
  <c r="G28" i="1"/>
  <c r="H16" i="1"/>
  <c r="Q15" i="1"/>
  <c r="P27" i="1"/>
  <c r="P29" i="1"/>
  <c r="Q17" i="1"/>
  <c r="P21" i="1"/>
  <c r="Q20" i="1"/>
  <c r="P32" i="1"/>
  <c r="E82" i="1"/>
  <c r="P30" i="1"/>
  <c r="Q18" i="1"/>
  <c r="G9" i="1" l="1"/>
  <c r="Q9" i="1" s="1"/>
  <c r="I8" i="1"/>
  <c r="I96" i="1" s="1"/>
  <c r="D58" i="8" s="1"/>
  <c r="A43" i="8"/>
  <c r="P9" i="1"/>
  <c r="R8" i="1"/>
  <c r="G31" i="1"/>
  <c r="H19" i="1"/>
  <c r="K65" i="1"/>
  <c r="B12" i="5" s="1"/>
  <c r="E89" i="1"/>
  <c r="K89" i="1" s="1"/>
  <c r="Q26" i="1"/>
  <c r="R14" i="1"/>
  <c r="H73" i="1"/>
  <c r="G74" i="1"/>
  <c r="F91" i="1"/>
  <c r="C11" i="10"/>
  <c r="H48" i="4"/>
  <c r="G27" i="1"/>
  <c r="H15" i="1"/>
  <c r="H49" i="4"/>
  <c r="B23" i="5" s="1"/>
  <c r="B10" i="10"/>
  <c r="G25" i="1"/>
  <c r="H13" i="1"/>
  <c r="Q24" i="1"/>
  <c r="R12" i="1"/>
  <c r="R17" i="1"/>
  <c r="Q29" i="1"/>
  <c r="Q27" i="1"/>
  <c r="R15" i="1"/>
  <c r="P33" i="1"/>
  <c r="H29" i="1"/>
  <c r="I17" i="1"/>
  <c r="I29" i="1" s="1"/>
  <c r="R13" i="1"/>
  <c r="Q25" i="1"/>
  <c r="K12" i="1"/>
  <c r="E83" i="1"/>
  <c r="E43" i="1" s="1"/>
  <c r="G23" i="1"/>
  <c r="H11" i="1"/>
  <c r="G21" i="1"/>
  <c r="Q21" i="1"/>
  <c r="I18" i="1"/>
  <c r="I30" i="1" s="1"/>
  <c r="H30" i="1"/>
  <c r="R20" i="1"/>
  <c r="Q32" i="1"/>
  <c r="I16" i="1"/>
  <c r="I28" i="1" s="1"/>
  <c r="H28" i="1"/>
  <c r="H14" i="1"/>
  <c r="G26" i="1"/>
  <c r="R19" i="1"/>
  <c r="Q31" i="1"/>
  <c r="H20" i="1"/>
  <c r="G32" i="1"/>
  <c r="Q28" i="1"/>
  <c r="R16" i="1"/>
  <c r="F33" i="1"/>
  <c r="F83" i="1" s="1"/>
  <c r="S11" i="1"/>
  <c r="R23" i="1"/>
  <c r="K18" i="1"/>
  <c r="Q30" i="1"/>
  <c r="R18" i="1"/>
  <c r="K24" i="1"/>
  <c r="B33" i="8"/>
  <c r="S8" i="1" l="1"/>
  <c r="H9" i="1"/>
  <c r="R9" i="1" s="1"/>
  <c r="A53" i="8"/>
  <c r="K29" i="1"/>
  <c r="H31" i="1"/>
  <c r="I19" i="1"/>
  <c r="R26" i="1"/>
  <c r="S14" i="1"/>
  <c r="S26" i="1" s="1"/>
  <c r="D11" i="10"/>
  <c r="D12" i="10" s="1"/>
  <c r="G91" i="1"/>
  <c r="I15" i="1"/>
  <c r="H27" i="1"/>
  <c r="C12" i="10"/>
  <c r="I73" i="1"/>
  <c r="H74" i="1"/>
  <c r="G10" i="10"/>
  <c r="B12" i="10"/>
  <c r="K30" i="1"/>
  <c r="I13" i="1"/>
  <c r="H25" i="1"/>
  <c r="S12" i="1"/>
  <c r="R24" i="1"/>
  <c r="E44" i="1"/>
  <c r="E85" i="1" s="1"/>
  <c r="S23" i="1"/>
  <c r="H23" i="1"/>
  <c r="I11" i="1"/>
  <c r="H21" i="1"/>
  <c r="H82" i="1" s="1"/>
  <c r="Q33" i="1"/>
  <c r="S15" i="1"/>
  <c r="R27" i="1"/>
  <c r="S17" i="1"/>
  <c r="S29" i="1" s="1"/>
  <c r="R29" i="1"/>
  <c r="I14" i="1"/>
  <c r="I26" i="1" s="1"/>
  <c r="H26" i="1"/>
  <c r="G33" i="1"/>
  <c r="G83" i="1" s="1"/>
  <c r="S13" i="1"/>
  <c r="R25" i="1"/>
  <c r="R30" i="1"/>
  <c r="S18" i="1"/>
  <c r="U11" i="1"/>
  <c r="I20" i="1"/>
  <c r="I32" i="1" s="1"/>
  <c r="H32" i="1"/>
  <c r="R21" i="1"/>
  <c r="S16" i="1"/>
  <c r="R28" i="1"/>
  <c r="K16" i="1"/>
  <c r="K17" i="1"/>
  <c r="F43" i="1"/>
  <c r="F44" i="1" s="1"/>
  <c r="F85" i="1" s="1"/>
  <c r="F93" i="1" s="1"/>
  <c r="R31" i="1"/>
  <c r="S19" i="1"/>
  <c r="S31" i="1" s="1"/>
  <c r="K28" i="1"/>
  <c r="S20" i="1"/>
  <c r="R32" i="1"/>
  <c r="G82" i="1"/>
  <c r="U23" i="1"/>
  <c r="B43" i="8"/>
  <c r="I9" i="1" l="1"/>
  <c r="B6" i="1" s="1"/>
  <c r="U14" i="1"/>
  <c r="I31" i="1"/>
  <c r="K31" i="1" s="1"/>
  <c r="K19" i="1"/>
  <c r="U31" i="1"/>
  <c r="U26" i="1"/>
  <c r="K20" i="1"/>
  <c r="U29" i="1"/>
  <c r="I74" i="1"/>
  <c r="K74" i="1" s="1"/>
  <c r="B15" i="5" s="1"/>
  <c r="B24" i="5" s="1"/>
  <c r="B26" i="5" s="1"/>
  <c r="K73" i="1"/>
  <c r="I27" i="1"/>
  <c r="K27" i="1" s="1"/>
  <c r="K15" i="1"/>
  <c r="H91" i="1"/>
  <c r="E11" i="10"/>
  <c r="E12" i="10" s="1"/>
  <c r="U17" i="1"/>
  <c r="R33" i="1"/>
  <c r="U19" i="1"/>
  <c r="K14" i="1"/>
  <c r="I25" i="1"/>
  <c r="K25" i="1" s="1"/>
  <c r="K13" i="1"/>
  <c r="K32" i="1"/>
  <c r="S24" i="1"/>
  <c r="U24" i="1" s="1"/>
  <c r="U12" i="1"/>
  <c r="I23" i="1"/>
  <c r="I21" i="1"/>
  <c r="S30" i="1"/>
  <c r="U30" i="1" s="1"/>
  <c r="U18" i="1"/>
  <c r="S25" i="1"/>
  <c r="U25" i="1" s="1"/>
  <c r="U13" i="1"/>
  <c r="H33" i="1"/>
  <c r="H83" i="1" s="1"/>
  <c r="H43" i="1" s="1"/>
  <c r="H44" i="1" s="1"/>
  <c r="H85" i="1" s="1"/>
  <c r="H95" i="1" s="1"/>
  <c r="F23" i="8"/>
  <c r="F25" i="8" s="1"/>
  <c r="K26" i="1"/>
  <c r="K11" i="1"/>
  <c r="S21" i="1"/>
  <c r="U21" i="1" s="1"/>
  <c r="E8" i="5" s="1"/>
  <c r="S32" i="1"/>
  <c r="U32" i="1" s="1"/>
  <c r="U20" i="1"/>
  <c r="S28" i="1"/>
  <c r="U28" i="1" s="1"/>
  <c r="U16" i="1"/>
  <c r="F95" i="1"/>
  <c r="G43" i="1"/>
  <c r="G44" i="1" s="1"/>
  <c r="G85" i="1" s="1"/>
  <c r="G95" i="1" s="1"/>
  <c r="S27" i="1"/>
  <c r="U27" i="1" s="1"/>
  <c r="U15" i="1"/>
  <c r="E93" i="1"/>
  <c r="E95" i="1"/>
  <c r="S9" i="1"/>
  <c r="B53" i="8"/>
  <c r="F11" i="10" l="1"/>
  <c r="F12" i="10" s="1"/>
  <c r="G12" i="10" s="1"/>
  <c r="I91" i="1"/>
  <c r="K91" i="1" s="1"/>
  <c r="S33" i="1"/>
  <c r="U33" i="1" s="1"/>
  <c r="E9" i="5" s="1"/>
  <c r="E16" i="5" s="1"/>
  <c r="E48" i="8"/>
  <c r="H97" i="1"/>
  <c r="F48" i="8" s="1"/>
  <c r="G97" i="1"/>
  <c r="F38" i="8" s="1"/>
  <c r="E38" i="8"/>
  <c r="F97" i="1"/>
  <c r="E28" i="8"/>
  <c r="I82" i="1"/>
  <c r="K21" i="1"/>
  <c r="B8" i="5" s="1"/>
  <c r="I33" i="1"/>
  <c r="K23" i="1"/>
  <c r="H93" i="1"/>
  <c r="G93" i="1"/>
  <c r="F13" i="8"/>
  <c r="F15" i="8" s="1"/>
  <c r="E97" i="1"/>
  <c r="E18" i="8"/>
  <c r="F18" i="8" s="1"/>
  <c r="D6" i="8"/>
  <c r="A5" i="5"/>
  <c r="G11" i="10" l="1"/>
  <c r="K82" i="1"/>
  <c r="F33" i="8"/>
  <c r="F35" i="8" s="1"/>
  <c r="G99" i="1"/>
  <c r="I83" i="1"/>
  <c r="K83" i="1" s="1"/>
  <c r="K33" i="1"/>
  <c r="B9" i="5" s="1"/>
  <c r="F43" i="8"/>
  <c r="F45" i="8" s="1"/>
  <c r="H99" i="1"/>
  <c r="F28" i="8"/>
  <c r="F99" i="1"/>
  <c r="E99" i="1"/>
  <c r="I43" i="1" l="1"/>
  <c r="I44" i="1" l="1"/>
  <c r="K43" i="1"/>
  <c r="I85" i="1" l="1"/>
  <c r="K44" i="1"/>
  <c r="B13" i="5" s="1"/>
  <c r="B16" i="5" s="1"/>
  <c r="B27" i="5" s="1"/>
  <c r="K85" i="1" l="1"/>
  <c r="I93" i="1"/>
  <c r="I95" i="1"/>
  <c r="E58" i="8" l="1"/>
  <c r="I97" i="1"/>
  <c r="K95" i="1"/>
  <c r="F53" i="8"/>
  <c r="F55" i="8" s="1"/>
  <c r="K93" i="1"/>
  <c r="F58" i="8" l="1"/>
  <c r="K97" i="1"/>
  <c r="F64" i="8"/>
  <c r="F62" i="8"/>
  <c r="I99" i="1"/>
  <c r="K99" i="1" s="1"/>
  <c r="F65" i="8" l="1"/>
  <c r="B30" i="5"/>
  <c r="B31" i="5"/>
  <c r="F66" i="8"/>
  <c r="D7" i="8"/>
  <c r="D8" i="8" s="1"/>
</calcChain>
</file>

<file path=xl/sharedStrings.xml><?xml version="1.0" encoding="utf-8"?>
<sst xmlns="http://schemas.openxmlformats.org/spreadsheetml/2006/main" count="430" uniqueCount="200">
  <si>
    <t>PI name:</t>
  </si>
  <si>
    <t>Project title:</t>
  </si>
  <si>
    <t>Effort %</t>
  </si>
  <si>
    <t>Salary</t>
  </si>
  <si>
    <t>Year 1</t>
  </si>
  <si>
    <t>Year 2</t>
  </si>
  <si>
    <t>Year 3</t>
  </si>
  <si>
    <t>Year 4</t>
  </si>
  <si>
    <t>Year 5</t>
  </si>
  <si>
    <t>Adj salary</t>
  </si>
  <si>
    <t>TOTAL</t>
  </si>
  <si>
    <t>Start date:</t>
  </si>
  <si>
    <t>End date:</t>
  </si>
  <si>
    <t>TOTALS</t>
  </si>
  <si>
    <t>Fringe benefits</t>
  </si>
  <si>
    <t>Fringe %</t>
  </si>
  <si>
    <t>Fringe</t>
  </si>
  <si>
    <t>Current salary</t>
  </si>
  <si>
    <t>Equipment</t>
  </si>
  <si>
    <t>Supplies</t>
  </si>
  <si>
    <t>Subcontracts</t>
  </si>
  <si>
    <t>Patient care costs</t>
  </si>
  <si>
    <t>Travel</t>
  </si>
  <si>
    <t>Tuition</t>
  </si>
  <si>
    <t>Other expenses</t>
  </si>
  <si>
    <t>DETAILED BUDGET TOTALS</t>
  </si>
  <si>
    <t>Direct costs</t>
  </si>
  <si>
    <t>Indirect costs</t>
  </si>
  <si>
    <t>Institution</t>
  </si>
  <si>
    <t>MODIFIED TOTAL DIRECT COSTS</t>
  </si>
  <si>
    <t>Cal Mos.</t>
  </si>
  <si>
    <t>COST SHARE</t>
  </si>
  <si>
    <t>Salary &amp; wages</t>
  </si>
  <si>
    <t>Supplies &amp; expenses</t>
  </si>
  <si>
    <t>TOTAL Direct Costs</t>
  </si>
  <si>
    <t>Speedtype</t>
  </si>
  <si>
    <t>Salaries</t>
  </si>
  <si>
    <t>AMT INCLUDED IN UL F/A</t>
  </si>
  <si>
    <t>F/A RATE</t>
  </si>
  <si>
    <t>TOTAL COSTS</t>
  </si>
  <si>
    <t>Equip ≥$5K per item</t>
  </si>
  <si>
    <t>Alteration/Renovation ≥$100K</t>
  </si>
  <si>
    <t>Equipment ≥$5K per item (190000)</t>
  </si>
  <si>
    <t>Alteration/Renovation ≥$100K (190000)</t>
  </si>
  <si>
    <t>Off-Site Rental (519000)</t>
  </si>
  <si>
    <t>Patient Care (519000)</t>
  </si>
  <si>
    <t>Subcontract amounts in excess of first $25K on each (519000)</t>
  </si>
  <si>
    <t>Tuition (520000)</t>
  </si>
  <si>
    <t xml:space="preserve">Other      </t>
  </si>
  <si>
    <t>Total Exclusions</t>
  </si>
  <si>
    <t>Modified TDC Base (18e TDC minus 18h exclusions)</t>
  </si>
  <si>
    <t>TOTAL AMT INCLUDED IN UL F/A</t>
  </si>
  <si>
    <t>TOTAL AMT EXCLUDED FROM UL F/A</t>
  </si>
  <si>
    <t>Speedtypes</t>
  </si>
  <si>
    <t>TOTAL SUBCONTRACTOR INDIRECT COSTS</t>
  </si>
  <si>
    <t>TOTAL SUBCONTRACTOR DIRECT COSTS</t>
  </si>
  <si>
    <t>Consortium F&amp;A</t>
  </si>
  <si>
    <t>MAIN NIH R01 MODULAR BUDGET SHEET</t>
  </si>
  <si>
    <t>Alterations/renovations</t>
  </si>
  <si>
    <t>Off-site rentals</t>
  </si>
  <si>
    <t>TARGET ANNUAL DIRECT COSTS</t>
  </si>
  <si>
    <t>MAIN SHEET</t>
  </si>
  <si>
    <t>SALARIES</t>
  </si>
  <si>
    <t>Salaries (Name)</t>
  </si>
  <si>
    <r>
      <t xml:space="preserve">1) </t>
    </r>
    <r>
      <rPr>
        <b/>
        <sz val="10"/>
        <rFont val="Arial"/>
        <family val="2"/>
      </rPr>
      <t>Name:</t>
    </r>
    <r>
      <rPr>
        <sz val="10"/>
        <rFont val="Arial"/>
        <family val="2"/>
      </rPr>
      <t xml:space="preserve"> fill in the first name and last name of each person on the project (e.g., </t>
    </r>
    <r>
      <rPr>
        <b/>
        <sz val="10"/>
        <rFont val="Arial"/>
        <family val="2"/>
      </rPr>
      <t>Mike Burry</t>
    </r>
    <r>
      <rPr>
        <sz val="10"/>
        <rFont val="Arial"/>
        <family val="2"/>
      </rPr>
      <t>)</t>
    </r>
  </si>
  <si>
    <t>FRINGE BENEFITS</t>
  </si>
  <si>
    <t>GRA</t>
  </si>
  <si>
    <t>Start date</t>
  </si>
  <si>
    <t>End date</t>
  </si>
  <si>
    <t>SUBCONTRACTS PAGE</t>
  </si>
  <si>
    <t>Subcontract 1</t>
  </si>
  <si>
    <t>Subcontract 2</t>
  </si>
  <si>
    <t>Subcontract 3</t>
  </si>
  <si>
    <t>Subcontract 4</t>
  </si>
  <si>
    <t>Subcontract 5</t>
  </si>
  <si>
    <t>DIRECT COST SUBTOTAL</t>
  </si>
  <si>
    <t>F&amp;A SUBTOTAL</t>
  </si>
  <si>
    <t>Budget period 1</t>
  </si>
  <si>
    <t>Direct costs less consortium F&amp;A</t>
  </si>
  <si>
    <t>Funds requested</t>
  </si>
  <si>
    <t>Total direct costs</t>
  </si>
  <si>
    <t>Indirect cost type</t>
  </si>
  <si>
    <t>Indirect cost rate (%)</t>
  </si>
  <si>
    <t>Indirect cost base ($)</t>
  </si>
  <si>
    <t>MTDC</t>
  </si>
  <si>
    <t>Budget period 2</t>
  </si>
  <si>
    <t>Budget period 3</t>
  </si>
  <si>
    <t>Budget period 4</t>
  </si>
  <si>
    <t>Budget period 5</t>
  </si>
  <si>
    <t>1. Total Costs, Entire Project Period</t>
  </si>
  <si>
    <t>Section A, Total Direct Cost less Consortium F&amp;A for Entire Project Period</t>
  </si>
  <si>
    <t>Section A, Total Consortium F&amp;A for Entire Project Period</t>
  </si>
  <si>
    <t>Section A, Total Direct Costs Entire Project Period</t>
  </si>
  <si>
    <t>Section B, Total Indirect Costs for Entire Project Period</t>
  </si>
  <si>
    <t>Section C, Total Direct and Indirect Costs (A+B) for Entire Project Period</t>
  </si>
  <si>
    <t>NIH 424 ITEMS</t>
  </si>
  <si>
    <t>SF 424 (R&amp;R)</t>
  </si>
  <si>
    <t>11. Descriptive title</t>
  </si>
  <si>
    <t>12. Project period</t>
  </si>
  <si>
    <t>15a. Total federal funds requested</t>
  </si>
  <si>
    <t>15c. Total federal and non-federal funds</t>
  </si>
  <si>
    <t>COMMENTS</t>
  </si>
  <si>
    <t>PROPOSAL CLEARANCE FORM BUDGET PAGE INFO</t>
  </si>
  <si>
    <t>#18c Entire Proposed Budget Period</t>
  </si>
  <si>
    <t>#18d Requested from sponsor</t>
  </si>
  <si>
    <t>#18f UofL Cost Share</t>
  </si>
  <si>
    <t>#18g Exclusions to TDC Base</t>
  </si>
  <si>
    <t>#18j F&amp;A Indirect costs</t>
  </si>
  <si>
    <t>#18k Total Cost of Project</t>
  </si>
  <si>
    <t>#18l Budget Remarks</t>
  </si>
  <si>
    <t>#19 Subcontracts to be issued</t>
  </si>
  <si>
    <t>Organization name</t>
  </si>
  <si>
    <t>PI/Contact name</t>
  </si>
  <si>
    <t>Current year</t>
  </si>
  <si>
    <t>Remain Years</t>
  </si>
  <si>
    <r>
      <t xml:space="preserve">1) </t>
    </r>
    <r>
      <rPr>
        <b/>
        <sz val="10"/>
        <rFont val="Arial"/>
        <family val="2"/>
      </rPr>
      <t>PI name:</t>
    </r>
    <r>
      <rPr>
        <sz val="10"/>
        <rFont val="Arial"/>
        <family val="2"/>
      </rPr>
      <t xml:space="preserve"> fill in the Principal Investigator's name (e.g., </t>
    </r>
    <r>
      <rPr>
        <b/>
        <sz val="10"/>
        <rFont val="Arial"/>
        <family val="2"/>
      </rPr>
      <t>Mike Burry, MD</t>
    </r>
    <r>
      <rPr>
        <sz val="10"/>
        <rFont val="Arial"/>
        <family val="2"/>
      </rPr>
      <t>).</t>
    </r>
  </si>
  <si>
    <t>Cost of living % increase</t>
  </si>
  <si>
    <r>
      <t xml:space="preserve">1) On the Excel toolbar, click on </t>
    </r>
    <r>
      <rPr>
        <b/>
        <sz val="10"/>
        <rFont val="Arial"/>
        <family val="2"/>
      </rPr>
      <t>Tools</t>
    </r>
    <r>
      <rPr>
        <sz val="10"/>
        <rFont val="Arial"/>
        <family val="2"/>
      </rPr>
      <t xml:space="preserve">, then </t>
    </r>
    <r>
      <rPr>
        <b/>
        <sz val="10"/>
        <rFont val="Arial"/>
        <family val="2"/>
      </rPr>
      <t>Add-ins</t>
    </r>
    <r>
      <rPr>
        <sz val="10"/>
        <rFont val="Arial"/>
        <family val="2"/>
      </rPr>
      <t xml:space="preserve">, and make sure that </t>
    </r>
    <r>
      <rPr>
        <b/>
        <sz val="10"/>
        <rFont val="Arial"/>
        <family val="2"/>
      </rPr>
      <t>Analysis ToolPak</t>
    </r>
    <r>
      <rPr>
        <sz val="10"/>
        <rFont val="Arial"/>
        <family val="2"/>
      </rPr>
      <t xml:space="preserve"> is checked.  (This allows the dates at the top of the Main Sheet Years to be filled in automatically.)</t>
    </r>
  </si>
  <si>
    <t>Excel Tools Ad-Ins</t>
  </si>
  <si>
    <t>PREPARATION</t>
  </si>
  <si>
    <t>FORMATTING EXPLANATIONS</t>
  </si>
  <si>
    <t>Fillable areas</t>
  </si>
  <si>
    <t>Only the peach-colored cells can be filled in -- all other cells are calculated automatically.</t>
  </si>
  <si>
    <r>
      <t xml:space="preserve">3) </t>
    </r>
    <r>
      <rPr>
        <b/>
        <sz val="10"/>
        <rFont val="Arial"/>
        <family val="2"/>
      </rPr>
      <t>Start date:</t>
    </r>
    <r>
      <rPr>
        <sz val="10"/>
        <rFont val="Arial"/>
        <family val="2"/>
      </rPr>
      <t xml:space="preserve"> leave blank -- will be filled in automatically below.</t>
    </r>
  </si>
  <si>
    <r>
      <t xml:space="preserve">4) </t>
    </r>
    <r>
      <rPr>
        <b/>
        <sz val="10"/>
        <rFont val="Arial"/>
        <family val="2"/>
      </rPr>
      <t>End date:</t>
    </r>
    <r>
      <rPr>
        <sz val="10"/>
        <rFont val="Arial"/>
        <family val="2"/>
      </rPr>
      <t xml:space="preserve"> leave blank -- will be filled in automatically below.</t>
    </r>
  </si>
  <si>
    <r>
      <t xml:space="preserve">1) </t>
    </r>
    <r>
      <rPr>
        <b/>
        <sz val="10"/>
        <rFont val="Arial"/>
        <family val="2"/>
      </rPr>
      <t xml:space="preserve">Year 1 start date: </t>
    </r>
    <r>
      <rPr>
        <sz val="10"/>
        <rFont val="Arial"/>
        <family val="2"/>
      </rPr>
      <t xml:space="preserve">fill in the start date in mm/dd/yyyy format </t>
    </r>
    <r>
      <rPr>
        <b/>
        <sz val="10"/>
        <rFont val="Arial"/>
        <family val="2"/>
      </rPr>
      <t>(e.g., 7/1/2010)</t>
    </r>
    <r>
      <rPr>
        <sz val="10"/>
        <rFont val="Arial"/>
        <family val="2"/>
      </rPr>
      <t xml:space="preserve"> and the remaining dates will be filled in automatically.</t>
    </r>
  </si>
  <si>
    <r>
      <t xml:space="preserve">2) </t>
    </r>
    <r>
      <rPr>
        <b/>
        <sz val="10"/>
        <rFont val="Arial"/>
        <family val="2"/>
      </rPr>
      <t>Current salary:</t>
    </r>
    <r>
      <rPr>
        <sz val="10"/>
        <rFont val="Arial"/>
        <family val="2"/>
      </rPr>
      <t xml:space="preserve"> Fill in this person's current Institutional Base Salary without decimals, which include supplemental pay, but excludes X-pays, VA salary and clinical salary (e.g., </t>
    </r>
    <r>
      <rPr>
        <b/>
        <sz val="10"/>
        <rFont val="Arial"/>
        <family val="2"/>
      </rPr>
      <t>90000</t>
    </r>
    <r>
      <rPr>
        <sz val="10"/>
        <rFont val="Arial"/>
        <family val="2"/>
      </rPr>
      <t>).</t>
    </r>
  </si>
  <si>
    <r>
      <t xml:space="preserve">3) </t>
    </r>
    <r>
      <rPr>
        <b/>
        <sz val="10"/>
        <rFont val="Arial"/>
        <family val="2"/>
      </rPr>
      <t>Effort %:</t>
    </r>
    <r>
      <rPr>
        <sz val="10"/>
        <rFont val="Arial"/>
        <family val="2"/>
      </rPr>
      <t xml:space="preserve"> Enter the effort percentage this person will work on this project (e.g., if they will work 20%, enter </t>
    </r>
    <r>
      <rPr>
        <b/>
        <sz val="10"/>
        <rFont val="Arial"/>
        <family val="2"/>
      </rPr>
      <t>20</t>
    </r>
    <r>
      <rPr>
        <sz val="10"/>
        <rFont val="Arial"/>
        <family val="2"/>
      </rPr>
      <t>).  NOTE: do not use decimals as it's difficult to justify that to sponsors.</t>
    </r>
  </si>
  <si>
    <r>
      <t xml:space="preserve">1) </t>
    </r>
    <r>
      <rPr>
        <b/>
        <sz val="10"/>
        <rFont val="Arial"/>
        <family val="2"/>
      </rPr>
      <t>GRA:</t>
    </r>
    <r>
      <rPr>
        <sz val="10"/>
        <rFont val="Arial"/>
        <family val="2"/>
      </rPr>
      <t xml:space="preserve"> If this person is a Graduate Research Assistant, fill in </t>
    </r>
    <r>
      <rPr>
        <b/>
        <sz val="10"/>
        <rFont val="Arial"/>
        <family val="2"/>
      </rPr>
      <t>GRA</t>
    </r>
    <r>
      <rPr>
        <sz val="10"/>
        <rFont val="Arial"/>
        <family val="2"/>
      </rPr>
      <t xml:space="preserve"> here and the Fringe % will automatically be set to 0 and the first year filled in based on the current GRA fringe amount.</t>
    </r>
  </si>
  <si>
    <r>
      <t xml:space="preserve">2) </t>
    </r>
    <r>
      <rPr>
        <b/>
        <sz val="10"/>
        <rFont val="Arial"/>
        <family val="2"/>
      </rPr>
      <t>Fringe benefit %:</t>
    </r>
    <r>
      <rPr>
        <sz val="10"/>
        <rFont val="Arial"/>
        <family val="2"/>
      </rPr>
      <t xml:space="preserve"> Fill in the fringe benefit % for this person (e.g., if you want to enter 28.5%, then fill in </t>
    </r>
    <r>
      <rPr>
        <b/>
        <sz val="10"/>
        <rFont val="Arial"/>
        <family val="2"/>
      </rPr>
      <t>28.5</t>
    </r>
    <r>
      <rPr>
        <sz val="10"/>
        <rFont val="Arial"/>
        <family val="2"/>
      </rPr>
      <t>).  Standard is 28.5% but you can override this amount if you want to use the person's actual fringe rate.</t>
    </r>
  </si>
  <si>
    <t>EQUIPMENT</t>
  </si>
  <si>
    <r>
      <t xml:space="preserve">1) </t>
    </r>
    <r>
      <rPr>
        <b/>
        <sz val="10"/>
        <rFont val="Arial"/>
        <family val="2"/>
      </rPr>
      <t>Equipment item:</t>
    </r>
    <r>
      <rPr>
        <sz val="10"/>
        <rFont val="Arial"/>
        <family val="2"/>
      </rPr>
      <t xml:space="preserve"> fill in the name of the piece of equipment or equipment system you are requesting from the sponsor (e.g., </t>
    </r>
    <r>
      <rPr>
        <b/>
        <sz val="10"/>
        <rFont val="Arial"/>
        <family val="2"/>
      </rPr>
      <t>Electron microscope</t>
    </r>
    <r>
      <rPr>
        <sz val="10"/>
        <rFont val="Arial"/>
        <family val="2"/>
      </rPr>
      <t>).</t>
    </r>
  </si>
  <si>
    <r>
      <t xml:space="preserve">2) </t>
    </r>
    <r>
      <rPr>
        <b/>
        <sz val="10"/>
        <rFont val="Arial"/>
        <family val="2"/>
      </rPr>
      <t>Equipment costs:</t>
    </r>
    <r>
      <rPr>
        <sz val="10"/>
        <rFont val="Arial"/>
        <family val="2"/>
      </rPr>
      <t xml:space="preserve"> fill in the cost of the equipment on this line, in the year it will be purchased.  </t>
    </r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equipment must be greater than $5,000, so if the equipment is less, list it in Other Expenses instead.  You will get an error message if you try to enter less here.</t>
    </r>
  </si>
  <si>
    <t>SUPPLIES</t>
  </si>
  <si>
    <t>Each cell is calculated automatically by taking the Target amount for that year and subtracting all other costs except subcontract indirect costs.</t>
  </si>
  <si>
    <t>HEADER</t>
  </si>
  <si>
    <t>START AND END DATES</t>
  </si>
  <si>
    <r>
      <t xml:space="preserve">5) </t>
    </r>
    <r>
      <rPr>
        <b/>
        <sz val="10"/>
        <rFont val="Arial"/>
        <family val="2"/>
      </rPr>
      <t>Years 1-5:</t>
    </r>
    <r>
      <rPr>
        <sz val="10"/>
        <rFont val="Arial"/>
        <family val="2"/>
      </rPr>
      <t xml:space="preserve"> These are calculated automatically based on the Adjusted Salary x the effort %, with a cost-of-living allowance added Years 2 and up.</t>
    </r>
  </si>
  <si>
    <t>PATIENT CARE COSTS</t>
  </si>
  <si>
    <r>
      <t xml:space="preserve">1) </t>
    </r>
    <r>
      <rPr>
        <b/>
        <sz val="10"/>
        <rFont val="Arial"/>
        <family val="2"/>
      </rPr>
      <t>Patient care items:</t>
    </r>
    <r>
      <rPr>
        <sz val="10"/>
        <rFont val="Arial"/>
        <family val="2"/>
      </rPr>
      <t xml:space="preserve"> f</t>
    </r>
    <r>
      <rPr>
        <sz val="10"/>
        <rFont val="Arial"/>
        <family val="2"/>
      </rPr>
      <t xml:space="preserve">ill in the type of patient care cost (e.g., </t>
    </r>
    <r>
      <rPr>
        <b/>
        <sz val="10"/>
        <rFont val="Arial"/>
        <family val="2"/>
      </rPr>
      <t>CT scans</t>
    </r>
    <r>
      <rPr>
        <sz val="10"/>
        <rFont val="Arial"/>
        <family val="2"/>
      </rPr>
      <t>)</t>
    </r>
  </si>
  <si>
    <r>
      <t xml:space="preserve">2) </t>
    </r>
    <r>
      <rPr>
        <b/>
        <sz val="10"/>
        <rFont val="Arial"/>
        <family val="2"/>
      </rPr>
      <t>Patient care costs:</t>
    </r>
    <r>
      <rPr>
        <sz val="10"/>
        <rFont val="Arial"/>
        <family val="2"/>
      </rPr>
      <t xml:space="preserve"> fill in the costs of patient care costs for this year in this cell.</t>
    </r>
  </si>
  <si>
    <t>ALTERATIONS/RENOVATIONS</t>
  </si>
  <si>
    <r>
      <t xml:space="preserve">1) </t>
    </r>
    <r>
      <rPr>
        <b/>
        <sz val="10"/>
        <rFont val="Arial"/>
        <family val="2"/>
      </rPr>
      <t>Alteration/renovation item: f</t>
    </r>
    <r>
      <rPr>
        <sz val="10"/>
        <rFont val="Arial"/>
        <family val="2"/>
      </rPr>
      <t xml:space="preserve">ill in a short description of the renovation or building alteration (e.g., </t>
    </r>
    <r>
      <rPr>
        <b/>
        <sz val="10"/>
        <rFont val="Arial"/>
        <family val="2"/>
      </rPr>
      <t>Hood installation</t>
    </r>
    <r>
      <rPr>
        <sz val="10"/>
        <rFont val="Arial"/>
        <family val="2"/>
      </rPr>
      <t>).</t>
    </r>
  </si>
  <si>
    <r>
      <t xml:space="preserve">2) </t>
    </r>
    <r>
      <rPr>
        <b/>
        <sz val="10"/>
        <rFont val="Arial"/>
        <family val="2"/>
      </rPr>
      <t>Alteration/renovation costs:</t>
    </r>
    <r>
      <rPr>
        <sz val="10"/>
        <rFont val="Arial"/>
        <family val="2"/>
      </rPr>
      <t xml:space="preserve"> Fill in the amount of alteration or renovation costs for this year in this cell.  </t>
    </r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if total for each line is &lt;$100,000, line will turn red as if less than $100,000 should be in the Other Expenses section.</t>
    </r>
  </si>
  <si>
    <t>OFF-SITE RENTALS</t>
  </si>
  <si>
    <r>
      <t xml:space="preserve">2) </t>
    </r>
    <r>
      <rPr>
        <b/>
        <sz val="10"/>
        <rFont val="Arial"/>
        <family val="2"/>
      </rPr>
      <t>Off-site rental costs:</t>
    </r>
    <r>
      <rPr>
        <sz val="10"/>
        <rFont val="Arial"/>
        <family val="2"/>
      </rPr>
      <t xml:space="preserve"> fill in the amount of off-site rental costs for this year in this cell.</t>
    </r>
  </si>
  <si>
    <r>
      <t xml:space="preserve">1) </t>
    </r>
    <r>
      <rPr>
        <b/>
        <sz val="10"/>
        <rFont val="Arial"/>
        <family val="2"/>
      </rPr>
      <t xml:space="preserve">Off-site rental item: </t>
    </r>
    <r>
      <rPr>
        <sz val="10"/>
        <rFont val="Arial"/>
        <family val="2"/>
      </rPr>
      <t xml:space="preserve">fill in the description the of off-site rental cost (e.g., </t>
    </r>
    <r>
      <rPr>
        <b/>
        <sz val="10"/>
        <rFont val="Arial"/>
        <family val="2"/>
      </rPr>
      <t>CTRB lobby rental)</t>
    </r>
  </si>
  <si>
    <t>SUBCONTRACTS</t>
  </si>
  <si>
    <t>Each cell is filled in automatically based on information from the Subonctracts page.</t>
  </si>
  <si>
    <t>TRAVEL</t>
  </si>
  <si>
    <r>
      <t xml:space="preserve">1) </t>
    </r>
    <r>
      <rPr>
        <b/>
        <sz val="10"/>
        <rFont val="Arial"/>
        <family val="2"/>
      </rPr>
      <t>Travel items:</t>
    </r>
    <r>
      <rPr>
        <sz val="10"/>
        <rFont val="Arial"/>
        <family val="2"/>
      </rPr>
      <t xml:space="preserve"> fill in the description the of each travel cost (e.g., </t>
    </r>
    <r>
      <rPr>
        <b/>
        <sz val="10"/>
        <rFont val="Arial"/>
        <family val="2"/>
      </rPr>
      <t>PI to 1 national meeting</t>
    </r>
    <r>
      <rPr>
        <sz val="10"/>
        <rFont val="Arial"/>
        <family val="2"/>
      </rPr>
      <t>).</t>
    </r>
  </si>
  <si>
    <r>
      <t>2) Travel costs: f</t>
    </r>
    <r>
      <rPr>
        <sz val="10"/>
        <rFont val="Arial"/>
        <family val="2"/>
      </rPr>
      <t xml:space="preserve">ill in the amount of travel costs for this year in this cell.  </t>
    </r>
  </si>
  <si>
    <r>
      <t>Tuition numbers and costs:</t>
    </r>
    <r>
      <rPr>
        <sz val="10"/>
        <rFont val="Arial"/>
        <family val="2"/>
      </rPr>
      <t xml:space="preserve"> a</t>
    </r>
    <r>
      <rPr>
        <sz val="10"/>
        <rFont val="Arial"/>
        <family val="2"/>
      </rPr>
      <t>utomatically calculates the number of individuals requiring tuition support by taking the number of persons classified as GRA in the fringe section and multiplying that # by the amount of tuition listed on the References page.</t>
    </r>
  </si>
  <si>
    <t>TUITION</t>
  </si>
  <si>
    <t>OTHER EXPENSES</t>
  </si>
  <si>
    <r>
      <t xml:space="preserve">1) </t>
    </r>
    <r>
      <rPr>
        <b/>
        <sz val="10"/>
        <rFont val="Arial"/>
        <family val="2"/>
      </rPr>
      <t xml:space="preserve">Other expense items: </t>
    </r>
    <r>
      <rPr>
        <sz val="10"/>
        <rFont val="Arial"/>
        <family val="2"/>
      </rPr>
      <t xml:space="preserve">fill in the description the of this other expense cost (e.g., </t>
    </r>
    <r>
      <rPr>
        <b/>
        <sz val="10"/>
        <rFont val="Arial"/>
        <family val="2"/>
      </rPr>
      <t>Publications</t>
    </r>
    <r>
      <rPr>
        <sz val="10"/>
        <rFont val="Arial"/>
        <family val="2"/>
      </rPr>
      <t>)</t>
    </r>
  </si>
  <si>
    <r>
      <t xml:space="preserve">2) </t>
    </r>
    <r>
      <rPr>
        <b/>
        <sz val="10"/>
        <rFont val="Arial"/>
        <family val="2"/>
      </rPr>
      <t>Other expense costs:</t>
    </r>
    <r>
      <rPr>
        <sz val="10"/>
        <rFont val="Arial"/>
        <family val="2"/>
      </rPr>
      <t xml:space="preserve"> fill in the amount of this other expense cost for this year in this cell.  </t>
    </r>
  </si>
  <si>
    <r>
      <t xml:space="preserve">1) </t>
    </r>
    <r>
      <rPr>
        <b/>
        <sz val="10"/>
        <rFont val="Arial"/>
        <family val="2"/>
      </rPr>
      <t xml:space="preserve">Comments: </t>
    </r>
    <r>
      <rPr>
        <sz val="10"/>
        <rFont val="Arial"/>
        <family val="2"/>
      </rPr>
      <t xml:space="preserve">Enter in comments about the budget, if needed (e.g., </t>
    </r>
    <r>
      <rPr>
        <b/>
        <sz val="10"/>
        <rFont val="Arial"/>
        <family val="2"/>
      </rPr>
      <t>Burry will be promoted 8/10 so the base salary listed is the projected amount</t>
    </r>
    <r>
      <rPr>
        <sz val="10"/>
        <rFont val="Arial"/>
        <family val="2"/>
      </rPr>
      <t>).</t>
    </r>
  </si>
  <si>
    <t>EACH LISTING</t>
  </si>
  <si>
    <r>
      <t xml:space="preserve">1) </t>
    </r>
    <r>
      <rPr>
        <b/>
        <sz val="10"/>
        <rFont val="Arial"/>
        <family val="2"/>
      </rPr>
      <t>Institution:</t>
    </r>
    <r>
      <rPr>
        <sz val="10"/>
        <rFont val="Arial"/>
        <family val="2"/>
      </rPr>
      <t xml:space="preserve"> fill in the name of the institution you will be subcontracting to (e.g., </t>
    </r>
    <r>
      <rPr>
        <b/>
        <sz val="10"/>
        <rFont val="Arial"/>
        <family val="2"/>
      </rPr>
      <t>Brown University</t>
    </r>
    <r>
      <rPr>
        <sz val="10"/>
        <rFont val="Arial"/>
        <family val="2"/>
      </rPr>
      <t>).</t>
    </r>
  </si>
  <si>
    <t>Principal Investigator</t>
  </si>
  <si>
    <r>
      <t xml:space="preserve">3) </t>
    </r>
    <r>
      <rPr>
        <b/>
        <sz val="10"/>
        <rFont val="Arial"/>
        <family val="2"/>
      </rPr>
      <t>Direct costs:</t>
    </r>
    <r>
      <rPr>
        <sz val="10"/>
        <rFont val="Arial"/>
        <family val="2"/>
      </rPr>
      <t xml:space="preserve"> fill in the direct costs the subcontractee is charging for each year of the project.</t>
    </r>
  </si>
  <si>
    <r>
      <t xml:space="preserve">2) </t>
    </r>
    <r>
      <rPr>
        <b/>
        <sz val="10"/>
        <rFont val="Arial"/>
        <family val="2"/>
      </rPr>
      <t>Principal Investigator:</t>
    </r>
    <r>
      <rPr>
        <sz val="10"/>
        <rFont val="Arial"/>
        <family val="2"/>
      </rPr>
      <t xml:space="preserve"> fill in the name of the PI at this subcontract site (e.g., </t>
    </r>
    <r>
      <rPr>
        <b/>
        <sz val="10"/>
        <rFont val="Arial"/>
        <family val="2"/>
      </rPr>
      <t>Chris Meloni</t>
    </r>
    <r>
      <rPr>
        <sz val="10"/>
        <rFont val="Arial"/>
        <family val="2"/>
      </rPr>
      <t>).</t>
    </r>
  </si>
  <si>
    <r>
      <t xml:space="preserve">4) </t>
    </r>
    <r>
      <rPr>
        <b/>
        <sz val="10"/>
        <rFont val="Arial"/>
        <family val="2"/>
      </rPr>
      <t>Indirect costs:</t>
    </r>
    <r>
      <rPr>
        <sz val="10"/>
        <rFont val="Arial"/>
        <family val="2"/>
      </rPr>
      <t xml:space="preserve"> fill in the indirect costs the subcontractee is charging for each year of the project.</t>
    </r>
  </si>
  <si>
    <t>TOTAL SUBCONTRACTOR COSTS</t>
  </si>
  <si>
    <t>COST SHARES</t>
  </si>
  <si>
    <r>
      <t xml:space="preserve">1) </t>
    </r>
    <r>
      <rPr>
        <b/>
        <sz val="10"/>
        <rFont val="Arial"/>
        <family val="2"/>
      </rPr>
      <t>Speedtypes:</t>
    </r>
    <r>
      <rPr>
        <sz val="10"/>
        <rFont val="Arial"/>
        <family val="2"/>
      </rPr>
      <t xml:space="preserve"> Fill in the 5-character speedtype to be used for the cost share funding -- usually a letter plus 4 numbers, (e.g., </t>
    </r>
    <r>
      <rPr>
        <b/>
        <sz val="10"/>
        <rFont val="Arial"/>
        <family val="2"/>
      </rPr>
      <t>P0021</t>
    </r>
    <r>
      <rPr>
        <sz val="10"/>
        <rFont val="Arial"/>
        <family val="2"/>
      </rPr>
      <t>).  CANNOT be a grant speedtype.</t>
    </r>
  </si>
  <si>
    <r>
      <t xml:space="preserve">2) </t>
    </r>
    <r>
      <rPr>
        <b/>
        <sz val="10"/>
        <rFont val="Arial"/>
        <family val="2"/>
      </rPr>
      <t xml:space="preserve">Project title: </t>
    </r>
    <r>
      <rPr>
        <sz val="10"/>
        <rFont val="Arial"/>
        <family val="2"/>
      </rPr>
      <t>F</t>
    </r>
    <r>
      <rPr>
        <sz val="10"/>
        <rFont val="Arial"/>
        <family val="2"/>
      </rPr>
      <t xml:space="preserve">ill in the title as it will be submitted to the NIH </t>
    </r>
    <r>
      <rPr>
        <b/>
        <sz val="10"/>
        <rFont val="Arial"/>
        <family val="2"/>
      </rPr>
      <t>NO LONGER THAN 82 CHARACTERS</t>
    </r>
    <r>
      <rPr>
        <sz val="10"/>
        <rFont val="Arial"/>
        <family val="2"/>
      </rPr>
      <t xml:space="preserve"> (e.g., </t>
    </r>
    <r>
      <rPr>
        <b/>
        <sz val="10"/>
        <rFont val="Arial"/>
        <family val="2"/>
      </rPr>
      <t>Impact of TB on HIV-infected patients</t>
    </r>
    <r>
      <rPr>
        <sz val="10"/>
        <rFont val="Arial"/>
        <family val="2"/>
      </rPr>
      <t>).</t>
    </r>
  </si>
  <si>
    <r>
      <t xml:space="preserve">3) </t>
    </r>
    <r>
      <rPr>
        <b/>
        <sz val="10"/>
        <rFont val="Arial"/>
        <family val="2"/>
      </rPr>
      <t>COL%:</t>
    </r>
    <r>
      <rPr>
        <sz val="10"/>
        <rFont val="Arial"/>
        <family val="2"/>
      </rPr>
      <t xml:space="preserve"> use the drop-down arrow to the right of this cell to select the cost-of-living allowance increase percentage that will be used (e.g., </t>
    </r>
    <r>
      <rPr>
        <b/>
        <sz val="10"/>
        <rFont val="Arial"/>
        <family val="2"/>
      </rPr>
      <t>3%</t>
    </r>
    <r>
      <rPr>
        <sz val="10"/>
        <rFont val="Arial"/>
        <family val="2"/>
      </rPr>
      <t xml:space="preserve">).  </t>
    </r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standard is 3% and the NIH does not allow more than 3%.</t>
    </r>
  </si>
  <si>
    <r>
      <t xml:space="preserve">4) The </t>
    </r>
    <r>
      <rPr>
        <b/>
        <sz val="10"/>
        <rFont val="Arial"/>
        <family val="2"/>
      </rPr>
      <t>Adj salary</t>
    </r>
    <r>
      <rPr>
        <sz val="10"/>
        <rFont val="Arial"/>
        <family val="2"/>
      </rPr>
      <t xml:space="preserve"> adjusts any salary over the NIH cap to the cap amount.</t>
    </r>
  </si>
  <si>
    <t>Additional Narrative Justification</t>
  </si>
  <si>
    <t>The following exclusions were applied to the F&amp;A base calculations:</t>
  </si>
  <si>
    <t>Total</t>
  </si>
  <si>
    <t>Equipment ≥$5K per item</t>
  </si>
  <si>
    <t>Off-Site Rental</t>
  </si>
  <si>
    <t>Patient Care</t>
  </si>
  <si>
    <t>Subcontracts &gt;$25,000</t>
  </si>
  <si>
    <t>Save selection as a PDF</t>
  </si>
  <si>
    <t>2) Click on File tab at the top left of this page.</t>
  </si>
  <si>
    <t>Copying to a Word document</t>
  </si>
  <si>
    <t>GRA insurance</t>
  </si>
  <si>
    <t>GRA tuition</t>
  </si>
  <si>
    <r>
      <t xml:space="preserve">3) Click on </t>
    </r>
    <r>
      <rPr>
        <b/>
        <sz val="11"/>
        <rFont val="Arial"/>
        <family val="2"/>
      </rPr>
      <t>Save as Adobe PDF</t>
    </r>
  </si>
  <si>
    <t xml:space="preserve">4) Dialog box will open </t>
  </si>
  <si>
    <r>
      <t xml:space="preserve">5) In the top left, under Conversion Range, click </t>
    </r>
    <r>
      <rPr>
        <b/>
        <sz val="11"/>
        <rFont val="Arial"/>
        <family val="2"/>
      </rPr>
      <t>Selection</t>
    </r>
    <r>
      <rPr>
        <sz val="11"/>
        <rFont val="Arial"/>
        <family val="2"/>
      </rPr>
      <t xml:space="preserve">, then the </t>
    </r>
    <r>
      <rPr>
        <b/>
        <sz val="11"/>
        <rFont val="Arial"/>
        <family val="2"/>
      </rPr>
      <t>Convert to PDF</t>
    </r>
    <r>
      <rPr>
        <sz val="11"/>
        <rFont val="Arial"/>
        <family val="2"/>
      </rPr>
      <t xml:space="preserve"> button</t>
    </r>
  </si>
  <si>
    <t>6) Follow the rest of the directions you're given.</t>
  </si>
  <si>
    <t>2) Copy selection</t>
  </si>
  <si>
    <t>3) Paste in a Word document</t>
  </si>
  <si>
    <r>
      <t xml:space="preserve">1) Click on the </t>
    </r>
    <r>
      <rPr>
        <b/>
        <sz val="11"/>
        <rFont val="Arial"/>
        <family val="2"/>
      </rPr>
      <t>Highlight cells</t>
    </r>
    <r>
      <rPr>
        <sz val="11"/>
        <rFont val="Arial"/>
        <family val="2"/>
      </rPr>
      <t xml:space="preserve"> button above.</t>
    </r>
  </si>
  <si>
    <t>a sene</t>
  </si>
  <si>
    <t>F/A calculations</t>
  </si>
  <si>
    <t>Cognizant Federal Agency</t>
  </si>
  <si>
    <t>Indirect Cost Agreement Date</t>
  </si>
  <si>
    <r>
      <t>FACILITIES AND ADMINISTRATION</t>
    </r>
    <r>
      <rPr>
        <sz val="11"/>
        <rFont val="Arial"/>
        <family val="2"/>
      </rPr>
      <t xml:space="preserve"> (F&amp;A) costs are requested and calculated in accordance with the University’s current Rate Agreement established with DHHS. An F&amp;A rate of 53% MTDC is the applicable rate for on-campus sponsored research during the proposed project period effective 07/01/2015 – 06/30/2016 and is 54% effective 7/1/2016 – 06/30/2018.</t>
    </r>
  </si>
  <si>
    <t>GRA post-candidacy stipend</t>
  </si>
  <si>
    <t>https://louisville.edu/research/common/fringe-benefits</t>
  </si>
  <si>
    <t>Fringe benefit rate*</t>
  </si>
  <si>
    <r>
      <t xml:space="preserve">*POST-DOC FRINGE RATE: </t>
    </r>
    <r>
      <rPr>
        <sz val="9"/>
        <rFont val="Arial"/>
        <family val="2"/>
      </rPr>
      <t xml:space="preserve">UL recommends using a </t>
    </r>
    <r>
      <rPr>
        <b/>
        <sz val="9"/>
        <rFont val="Arial"/>
        <family val="2"/>
      </rPr>
      <t>39%</t>
    </r>
    <r>
      <rPr>
        <sz val="9"/>
        <rFont val="Arial"/>
        <family val="2"/>
      </rPr>
      <t xml:space="preserve"> fringe rate</t>
    </r>
  </si>
  <si>
    <t>NIH salary cap (1/8/17)</t>
  </si>
  <si>
    <t xml:space="preserve">DHHS,  Arif Karim, 214-767-3261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</si>
</sst>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164" formatCode="0.0%"/>
    <numFmt numFmtId="165" formatCode="&quot;$&quot;#,##0.00"/>
    <numFmt numFmtId="166" formatCode="_(&quot;$&quot;* #,##0_);_(&quot;$&quot;* \(#,##0\);_(&quot;$&quot;* &quot;-&quot;??_);_(@_)"/>
    <numFmt numFmtId="167" formatCode="_(&quot;$&quot;* #,##0_);_(&quot;$&quot;* \(#,##0\);_(&quot;$&quot;* &quot;-&quot;??"/>
    <numFmt numFmtId="168" formatCode="&quot;$&quot;#,##0"/>
    <numFmt numFmtId="169" formatCode="&quot;$&quot;#,##0.0000000000"/>
    <numFmt numFmtId="170" formatCode="0.0000000000"/>
    <numFmt numFmtId="171" formatCode="0.000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color indexed="63"/>
      <name val="Arial"/>
      <family val="2"/>
    </font>
    <font>
      <sz val="9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u/>
      <sz val="11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96">
    <xf numFmtId="0" fontId="0" fillId="0" borderId="0" xfId="0"/>
    <xf numFmtId="2" fontId="0" fillId="0" borderId="0" xfId="0" applyNumberFormat="1"/>
    <xf numFmtId="6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4" fillId="0" borderId="1" xfId="0" applyFont="1" applyBorder="1"/>
    <xf numFmtId="167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/>
    <xf numFmtId="167" fontId="5" fillId="0" borderId="1" xfId="0" applyNumberFormat="1" applyFont="1" applyBorder="1"/>
    <xf numFmtId="0" fontId="5" fillId="3" borderId="1" xfId="0" applyFont="1" applyFill="1" applyBorder="1" applyAlignment="1">
      <alignment horizontal="right"/>
    </xf>
    <xf numFmtId="167" fontId="5" fillId="3" borderId="1" xfId="0" applyNumberFormat="1" applyFont="1" applyFill="1" applyBorder="1"/>
    <xf numFmtId="0" fontId="5" fillId="0" borderId="1" xfId="0" applyFont="1" applyBorder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/>
    </xf>
    <xf numFmtId="167" fontId="5" fillId="0" borderId="2" xfId="0" applyNumberFormat="1" applyFont="1" applyBorder="1"/>
    <xf numFmtId="0" fontId="4" fillId="3" borderId="1" xfId="0" applyFont="1" applyFill="1" applyBorder="1"/>
    <xf numFmtId="0" fontId="4" fillId="0" borderId="1" xfId="0" applyNumberFormat="1" applyFont="1" applyBorder="1"/>
    <xf numFmtId="167" fontId="6" fillId="2" borderId="1" xfId="0" applyNumberFormat="1" applyFont="1" applyFill="1" applyBorder="1"/>
    <xf numFmtId="0" fontId="2" fillId="0" borderId="0" xfId="0" applyFont="1"/>
    <xf numFmtId="0" fontId="7" fillId="0" borderId="0" xfId="0" applyFont="1"/>
    <xf numFmtId="167" fontId="8" fillId="3" borderId="1" xfId="0" applyNumberFormat="1" applyFont="1" applyFill="1" applyBorder="1"/>
    <xf numFmtId="0" fontId="10" fillId="2" borderId="0" xfId="0" applyFont="1" applyFill="1" applyAlignment="1">
      <alignment horizontal="right"/>
    </xf>
    <xf numFmtId="167" fontId="10" fillId="2" borderId="1" xfId="0" applyNumberFormat="1" applyFont="1" applyFill="1" applyBorder="1"/>
    <xf numFmtId="0" fontId="10" fillId="2" borderId="0" xfId="0" applyFont="1" applyFill="1"/>
    <xf numFmtId="0" fontId="9" fillId="0" borderId="0" xfId="0" applyFont="1"/>
    <xf numFmtId="0" fontId="8" fillId="3" borderId="0" xfId="0" applyFont="1" applyFill="1"/>
    <xf numFmtId="168" fontId="9" fillId="0" borderId="1" xfId="0" applyNumberFormat="1" applyFont="1" applyBorder="1"/>
    <xf numFmtId="0" fontId="8" fillId="3" borderId="1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9" fillId="0" borderId="1" xfId="0" applyFont="1" applyBorder="1"/>
    <xf numFmtId="167" fontId="9" fillId="0" borderId="1" xfId="0" applyNumberFormat="1" applyFont="1" applyBorder="1"/>
    <xf numFmtId="167" fontId="8" fillId="0" borderId="1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right"/>
    </xf>
    <xf numFmtId="167" fontId="9" fillId="0" borderId="0" xfId="0" applyNumberFormat="1" applyFont="1" applyBorder="1"/>
    <xf numFmtId="0" fontId="5" fillId="3" borderId="1" xfId="0" applyFont="1" applyFill="1" applyBorder="1"/>
    <xf numFmtId="168" fontId="5" fillId="3" borderId="1" xfId="0" applyNumberFormat="1" applyFont="1" applyFill="1" applyBorder="1"/>
    <xf numFmtId="0" fontId="6" fillId="2" borderId="0" xfId="0" applyFont="1" applyFill="1" applyAlignment="1">
      <alignment horizontal="left"/>
    </xf>
    <xf numFmtId="167" fontId="4" fillId="0" borderId="0" xfId="0" applyNumberFormat="1" applyFont="1"/>
    <xf numFmtId="0" fontId="3" fillId="3" borderId="0" xfId="0" applyFont="1" applyFill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4" fontId="5" fillId="0" borderId="1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6" fillId="2" borderId="3" xfId="0" applyFont="1" applyFill="1" applyBorder="1" applyAlignment="1">
      <alignment horizontal="left"/>
    </xf>
    <xf numFmtId="0" fontId="15" fillId="0" borderId="0" xfId="0" applyFont="1"/>
    <xf numFmtId="169" fontId="4" fillId="0" borderId="0" xfId="0" applyNumberFormat="1" applyFont="1"/>
    <xf numFmtId="170" fontId="4" fillId="0" borderId="0" xfId="0" applyNumberFormat="1" applyFont="1"/>
    <xf numFmtId="0" fontId="4" fillId="0" borderId="0" xfId="0" applyNumberFormat="1" applyFont="1" applyBorder="1"/>
    <xf numFmtId="2" fontId="4" fillId="3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7" fontId="8" fillId="3" borderId="4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168" fontId="5" fillId="0" borderId="1" xfId="0" applyNumberFormat="1" applyFont="1" applyBorder="1"/>
    <xf numFmtId="0" fontId="4" fillId="0" borderId="1" xfId="0" applyFont="1" applyBorder="1" applyAlignment="1">
      <alignment horizontal="left"/>
    </xf>
    <xf numFmtId="10" fontId="4" fillId="0" borderId="1" xfId="0" applyNumberFormat="1" applyFont="1" applyBorder="1"/>
    <xf numFmtId="0" fontId="9" fillId="0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8" fontId="0" fillId="0" borderId="1" xfId="0" applyNumberFormat="1" applyBorder="1"/>
    <xf numFmtId="10" fontId="0" fillId="0" borderId="1" xfId="0" applyNumberFormat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2" borderId="0" xfId="0" applyFont="1" applyFill="1"/>
    <xf numFmtId="168" fontId="4" fillId="0" borderId="1" xfId="0" applyNumberFormat="1" applyFont="1" applyBorder="1"/>
    <xf numFmtId="0" fontId="4" fillId="0" borderId="5" xfId="0" applyFont="1" applyBorder="1"/>
    <xf numFmtId="165" fontId="4" fillId="0" borderId="1" xfId="0" applyNumberFormat="1" applyFont="1" applyBorder="1"/>
    <xf numFmtId="168" fontId="4" fillId="0" borderId="5" xfId="0" applyNumberFormat="1" applyFont="1" applyBorder="1"/>
    <xf numFmtId="0" fontId="6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5" fillId="3" borderId="1" xfId="0" applyNumberFormat="1" applyFont="1" applyFill="1" applyBorder="1"/>
    <xf numFmtId="0" fontId="6" fillId="0" borderId="0" xfId="0" applyFont="1" applyFill="1" applyBorder="1" applyAlignment="1"/>
    <xf numFmtId="0" fontId="6" fillId="2" borderId="0" xfId="0" applyFont="1" applyFill="1" applyBorder="1" applyAlignment="1">
      <alignment horizontal="left"/>
    </xf>
    <xf numFmtId="0" fontId="4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2" borderId="0" xfId="0" applyFont="1" applyFill="1"/>
    <xf numFmtId="168" fontId="4" fillId="0" borderId="1" xfId="0" applyNumberFormat="1" applyFont="1" applyBorder="1" applyAlignment="1">
      <alignment horizontal="center"/>
    </xf>
    <xf numFmtId="0" fontId="17" fillId="0" borderId="0" xfId="0" applyFont="1"/>
    <xf numFmtId="49" fontId="4" fillId="4" borderId="1" xfId="0" applyNumberFormat="1" applyFont="1" applyFill="1" applyBorder="1" applyProtection="1">
      <protection locked="0"/>
    </xf>
    <xf numFmtId="166" fontId="4" fillId="4" borderId="1" xfId="0" applyNumberFormat="1" applyFont="1" applyFill="1" applyBorder="1" applyProtection="1">
      <protection locked="0"/>
    </xf>
    <xf numFmtId="164" fontId="4" fillId="4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167" fontId="4" fillId="4" borderId="1" xfId="0" applyNumberFormat="1" applyFont="1" applyFill="1" applyBorder="1" applyProtection="1">
      <protection locked="0"/>
    </xf>
    <xf numFmtId="14" fontId="5" fillId="4" borderId="1" xfId="0" applyNumberFormat="1" applyFont="1" applyFill="1" applyBorder="1" applyAlignment="1" applyProtection="1">
      <alignment horizontal="center"/>
      <protection locked="0"/>
    </xf>
    <xf numFmtId="167" fontId="9" fillId="4" borderId="1" xfId="0" applyNumberFormat="1" applyFont="1" applyFill="1" applyBorder="1" applyProtection="1">
      <protection locked="0"/>
    </xf>
    <xf numFmtId="0" fontId="14" fillId="0" borderId="0" xfId="0" applyFont="1" applyFill="1" applyAlignment="1"/>
    <xf numFmtId="0" fontId="4" fillId="0" borderId="1" xfId="0" applyFont="1" applyFill="1" applyBorder="1" applyAlignment="1">
      <alignment horizontal="center"/>
    </xf>
    <xf numFmtId="6" fontId="5" fillId="4" borderId="1" xfId="0" applyNumberFormat="1" applyFont="1" applyFill="1" applyBorder="1" applyProtection="1">
      <protection locked="0"/>
    </xf>
    <xf numFmtId="0" fontId="0" fillId="0" borderId="0" xfId="0" applyFill="1"/>
    <xf numFmtId="0" fontId="13" fillId="0" borderId="0" xfId="0" applyFont="1" applyFill="1"/>
    <xf numFmtId="0" fontId="12" fillId="2" borderId="1" xfId="0" applyFont="1" applyFill="1" applyBorder="1"/>
    <xf numFmtId="0" fontId="11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9" fontId="4" fillId="4" borderId="1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6" xfId="0" applyFont="1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2" fontId="4" fillId="0" borderId="0" xfId="0" applyNumberFormat="1" applyFont="1"/>
    <xf numFmtId="1" fontId="4" fillId="0" borderId="0" xfId="0" applyNumberFormat="1" applyFont="1"/>
    <xf numFmtId="171" fontId="4" fillId="0" borderId="0" xfId="0" applyNumberFormat="1" applyFont="1"/>
    <xf numFmtId="168" fontId="0" fillId="0" borderId="0" xfId="0" applyNumberFormat="1"/>
    <xf numFmtId="14" fontId="5" fillId="3" borderId="1" xfId="0" applyNumberFormat="1" applyFont="1" applyFill="1" applyBorder="1" applyAlignment="1">
      <alignment horizontal="center"/>
    </xf>
    <xf numFmtId="2" fontId="16" fillId="0" borderId="0" xfId="0" applyNumberFormat="1" applyFont="1"/>
    <xf numFmtId="0" fontId="4" fillId="0" borderId="1" xfId="0" applyFont="1" applyFill="1" applyBorder="1" applyAlignment="1" applyProtection="1">
      <alignment horizontal="center"/>
      <protection locked="0"/>
    </xf>
    <xf numFmtId="0" fontId="19" fillId="0" borderId="0" xfId="0" applyFont="1"/>
    <xf numFmtId="0" fontId="18" fillId="0" borderId="1" xfId="0" applyFont="1" applyBorder="1" applyAlignment="1">
      <alignment horizontal="center"/>
    </xf>
    <xf numFmtId="0" fontId="19" fillId="0" borderId="2" xfId="0" applyFont="1" applyBorder="1"/>
    <xf numFmtId="168" fontId="19" fillId="0" borderId="1" xfId="0" applyNumberFormat="1" applyFont="1" applyBorder="1"/>
    <xf numFmtId="168" fontId="18" fillId="0" borderId="1" xfId="0" applyNumberFormat="1" applyFont="1" applyBorder="1"/>
    <xf numFmtId="0" fontId="18" fillId="3" borderId="2" xfId="0" applyFont="1" applyFill="1" applyBorder="1"/>
    <xf numFmtId="0" fontId="18" fillId="0" borderId="0" xfId="0" applyFont="1"/>
    <xf numFmtId="0" fontId="11" fillId="0" borderId="0" xfId="0" applyFont="1"/>
    <xf numFmtId="49" fontId="4" fillId="0" borderId="1" xfId="0" applyNumberFormat="1" applyFont="1" applyBorder="1"/>
    <xf numFmtId="14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3" fillId="5" borderId="2" xfId="0" applyFont="1" applyFill="1" applyBorder="1" applyAlignment="1">
      <alignment horizontal="right"/>
    </xf>
    <xf numFmtId="0" fontId="20" fillId="0" borderId="8" xfId="0" applyFon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0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168" fontId="11" fillId="0" borderId="1" xfId="0" applyNumberFormat="1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left"/>
    </xf>
    <xf numFmtId="0" fontId="2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23" fillId="0" borderId="0" xfId="2" applyAlignment="1">
      <alignment vertical="center"/>
    </xf>
    <xf numFmtId="0" fontId="23" fillId="0" borderId="0" xfId="2"/>
    <xf numFmtId="0" fontId="5" fillId="0" borderId="1" xfId="0" applyFont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 applyProtection="1">
      <alignment horizontal="left"/>
      <protection locked="0"/>
    </xf>
    <xf numFmtId="0" fontId="4" fillId="4" borderId="8" xfId="0" applyFont="1" applyFill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right"/>
    </xf>
    <xf numFmtId="0" fontId="5" fillId="4" borderId="2" xfId="0" applyFont="1" applyFill="1" applyBorder="1" applyAlignment="1" applyProtection="1">
      <alignment horizontal="left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49" fontId="5" fillId="4" borderId="2" xfId="0" applyNumberFormat="1" applyFont="1" applyFill="1" applyBorder="1" applyAlignment="1" applyProtection="1">
      <alignment horizontal="left"/>
      <protection locked="0"/>
    </xf>
    <xf numFmtId="49" fontId="5" fillId="4" borderId="7" xfId="0" applyNumberFormat="1" applyFont="1" applyFill="1" applyBorder="1" applyAlignment="1" applyProtection="1">
      <alignment horizontal="left"/>
      <protection locked="0"/>
    </xf>
    <xf numFmtId="49" fontId="5" fillId="4" borderId="8" xfId="0" applyNumberFormat="1" applyFont="1" applyFill="1" applyBorder="1" applyAlignment="1" applyProtection="1">
      <alignment horizontal="left"/>
      <protection locked="0"/>
    </xf>
    <xf numFmtId="14" fontId="5" fillId="0" borderId="1" xfId="0" applyNumberFormat="1" applyFont="1" applyBorder="1" applyAlignment="1">
      <alignment horizontal="left"/>
    </xf>
    <xf numFmtId="164" fontId="5" fillId="4" borderId="1" xfId="1" applyNumberFormat="1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/>
    </xf>
    <xf numFmtId="0" fontId="16" fillId="0" borderId="3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4" fillId="4" borderId="1" xfId="0" applyFont="1" applyFill="1" applyBorder="1" applyAlignment="1" applyProtection="1">
      <alignment horizontal="left" wrapText="1"/>
      <protection locked="0"/>
    </xf>
    <xf numFmtId="0" fontId="5" fillId="0" borderId="1" xfId="0" applyFont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9" fillId="4" borderId="1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168" fontId="0" fillId="0" borderId="1" xfId="0" applyNumberForma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4" fillId="0" borderId="1" xfId="0" applyFont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2" borderId="3" xfId="0" applyFont="1" applyFill="1" applyBorder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13</xdr:row>
          <xdr:rowOff>0</xdr:rowOff>
        </xdr:from>
        <xdr:to>
          <xdr:col>3</xdr:col>
          <xdr:colOff>838200</xdr:colOff>
          <xdr:row>14</xdr:row>
          <xdr:rowOff>161925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Highlight cells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V109"/>
  <sheetViews>
    <sheetView tabSelected="1" workbookViewId="0">
      <selection activeCell="P44" sqref="P44"/>
    </sheetView>
  </sheetViews>
  <sheetFormatPr defaultRowHeight="12" x14ac:dyDescent="0.2"/>
  <cols>
    <col min="1" max="1" width="25" style="3" customWidth="1"/>
    <col min="2" max="3" width="11.7109375" style="3" customWidth="1"/>
    <col min="4" max="9" width="10.7109375" style="3" customWidth="1"/>
    <col min="10" max="10" width="1.7109375" style="3" customWidth="1"/>
    <col min="11" max="11" width="10.7109375" style="3" customWidth="1"/>
    <col min="12" max="12" width="8.28515625" style="3" customWidth="1"/>
    <col min="13" max="13" width="1.5703125" style="3" customWidth="1"/>
    <col min="14" max="14" width="23.7109375" style="3" customWidth="1"/>
    <col min="15" max="19" width="10.7109375" style="3" customWidth="1"/>
    <col min="20" max="20" width="1" style="3" customWidth="1"/>
    <col min="21" max="21" width="10.7109375" style="3" customWidth="1"/>
    <col min="22" max="16384" width="9.140625" style="3"/>
  </cols>
  <sheetData>
    <row r="2" spans="1:22" s="50" customFormat="1" ht="15.75" x14ac:dyDescent="0.25">
      <c r="A2" s="145" t="s">
        <v>57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</row>
    <row r="3" spans="1:22" x14ac:dyDescent="0.2">
      <c r="A3" s="12" t="s">
        <v>0</v>
      </c>
      <c r="B3" s="158"/>
      <c r="C3" s="159"/>
      <c r="D3" s="159"/>
      <c r="E3" s="159"/>
      <c r="F3" s="159"/>
      <c r="G3" s="159"/>
      <c r="H3" s="159"/>
      <c r="I3" s="160"/>
      <c r="K3" s="53"/>
      <c r="N3" s="51"/>
    </row>
    <row r="4" spans="1:22" ht="12.75" x14ac:dyDescent="0.2">
      <c r="A4" s="12" t="s">
        <v>1</v>
      </c>
      <c r="B4" s="161"/>
      <c r="C4" s="162"/>
      <c r="D4" s="162"/>
      <c r="E4" s="162"/>
      <c r="F4" s="162"/>
      <c r="G4" s="162"/>
      <c r="H4" s="162"/>
      <c r="I4" s="163"/>
      <c r="K4" s="116"/>
      <c r="N4" s="52"/>
    </row>
    <row r="5" spans="1:22" x14ac:dyDescent="0.2">
      <c r="A5" s="12" t="s">
        <v>11</v>
      </c>
      <c r="B5" s="164">
        <v>43922</v>
      </c>
      <c r="C5" s="164"/>
      <c r="D5" s="164"/>
      <c r="E5" s="164"/>
      <c r="F5" s="164"/>
      <c r="G5" s="164"/>
      <c r="H5" s="164"/>
      <c r="I5" s="164"/>
      <c r="N5" s="87"/>
    </row>
    <row r="6" spans="1:22" x14ac:dyDescent="0.2">
      <c r="A6" s="12" t="s">
        <v>12</v>
      </c>
      <c r="B6" s="164">
        <f>I9</f>
        <v>45747</v>
      </c>
      <c r="C6" s="164"/>
      <c r="D6" s="164"/>
      <c r="E6" s="164"/>
      <c r="F6" s="164"/>
      <c r="G6" s="164"/>
      <c r="H6" s="164"/>
      <c r="I6" s="164"/>
      <c r="N6" s="52"/>
    </row>
    <row r="7" spans="1:22" x14ac:dyDescent="0.2">
      <c r="A7" s="12" t="s">
        <v>116</v>
      </c>
      <c r="B7" s="165">
        <v>0.03</v>
      </c>
      <c r="C7" s="165"/>
      <c r="D7" s="165"/>
      <c r="E7" s="165"/>
      <c r="F7" s="165"/>
      <c r="G7" s="165"/>
      <c r="H7" s="165"/>
      <c r="I7" s="165"/>
      <c r="J7" s="4"/>
    </row>
    <row r="8" spans="1:22" s="5" customFormat="1" ht="12.75" customHeight="1" x14ac:dyDescent="0.2">
      <c r="D8" s="44" t="s">
        <v>67</v>
      </c>
      <c r="E8" s="93">
        <f>SUM(B5)</f>
        <v>43922</v>
      </c>
      <c r="F8" s="45">
        <f>EDATE(E8,12)</f>
        <v>44287</v>
      </c>
      <c r="G8" s="45">
        <f>EDATE(F8,12)</f>
        <v>44652</v>
      </c>
      <c r="H8" s="45">
        <f>EDATE(G8,12)</f>
        <v>45017</v>
      </c>
      <c r="I8" s="45">
        <f>EDATE(H8,12)</f>
        <v>45383</v>
      </c>
      <c r="J8" s="6"/>
      <c r="N8" s="166" t="s">
        <v>31</v>
      </c>
      <c r="O8" s="115">
        <f t="shared" ref="O8:S9" si="0">E8</f>
        <v>43922</v>
      </c>
      <c r="P8" s="115">
        <f t="shared" si="0"/>
        <v>44287</v>
      </c>
      <c r="Q8" s="115">
        <f t="shared" si="0"/>
        <v>44652</v>
      </c>
      <c r="R8" s="115">
        <f t="shared" si="0"/>
        <v>45017</v>
      </c>
      <c r="S8" s="115">
        <f t="shared" si="0"/>
        <v>45383</v>
      </c>
      <c r="T8" s="38"/>
      <c r="U8" s="38"/>
    </row>
    <row r="9" spans="1:22" s="5" customFormat="1" x14ac:dyDescent="0.2">
      <c r="D9" s="44" t="s">
        <v>68</v>
      </c>
      <c r="E9" s="45">
        <f>F8-1</f>
        <v>44286</v>
      </c>
      <c r="F9" s="45">
        <f>G8-1</f>
        <v>44651</v>
      </c>
      <c r="G9" s="45">
        <f>H8-1</f>
        <v>45016</v>
      </c>
      <c r="H9" s="45">
        <f>I8-1</f>
        <v>45382</v>
      </c>
      <c r="I9" s="45">
        <f>EDATE(H9,12)</f>
        <v>45747</v>
      </c>
      <c r="J9" s="6"/>
      <c r="N9" s="166"/>
      <c r="O9" s="115">
        <f t="shared" si="0"/>
        <v>44286</v>
      </c>
      <c r="P9" s="115">
        <f t="shared" si="0"/>
        <v>44651</v>
      </c>
      <c r="Q9" s="115">
        <f t="shared" si="0"/>
        <v>45016</v>
      </c>
      <c r="R9" s="115">
        <f t="shared" si="0"/>
        <v>45382</v>
      </c>
      <c r="S9" s="115">
        <f t="shared" si="0"/>
        <v>45747</v>
      </c>
      <c r="T9" s="38"/>
      <c r="U9" s="38"/>
    </row>
    <row r="10" spans="1:22" s="4" customFormat="1" x14ac:dyDescent="0.2">
      <c r="A10" s="40" t="s">
        <v>63</v>
      </c>
      <c r="B10" s="7" t="s">
        <v>17</v>
      </c>
      <c r="C10" s="7" t="s">
        <v>9</v>
      </c>
      <c r="D10" s="7" t="s">
        <v>2</v>
      </c>
      <c r="E10" s="7" t="s">
        <v>4</v>
      </c>
      <c r="F10" s="7" t="s">
        <v>5</v>
      </c>
      <c r="G10" s="7" t="s">
        <v>6</v>
      </c>
      <c r="H10" s="7" t="s">
        <v>7</v>
      </c>
      <c r="I10" s="7" t="s">
        <v>8</v>
      </c>
      <c r="J10" s="7"/>
      <c r="K10" s="7" t="s">
        <v>10</v>
      </c>
      <c r="L10" s="15" t="s">
        <v>30</v>
      </c>
      <c r="N10" s="7" t="s">
        <v>36</v>
      </c>
      <c r="O10" s="7" t="s">
        <v>4</v>
      </c>
      <c r="P10" s="7" t="s">
        <v>5</v>
      </c>
      <c r="Q10" s="7" t="s">
        <v>6</v>
      </c>
      <c r="R10" s="7" t="s">
        <v>7</v>
      </c>
      <c r="S10" s="7" t="s">
        <v>8</v>
      </c>
      <c r="T10" s="7"/>
      <c r="U10" s="7" t="s">
        <v>10</v>
      </c>
      <c r="V10" s="15" t="s">
        <v>35</v>
      </c>
    </row>
    <row r="11" spans="1:22" x14ac:dyDescent="0.2">
      <c r="A11" s="88"/>
      <c r="B11" s="89">
        <v>0</v>
      </c>
      <c r="C11" s="9">
        <f>IF(B11&gt;O36,O36,B11)</f>
        <v>0</v>
      </c>
      <c r="D11" s="104">
        <v>0</v>
      </c>
      <c r="E11" s="10">
        <f t="shared" ref="E11:E20" si="1">ROUND(C11*D11,0)</f>
        <v>0</v>
      </c>
      <c r="F11" s="10">
        <f>IF(B11&gt;O36,C11*D11,ROUND(E11*(1+B7),0))</f>
        <v>0</v>
      </c>
      <c r="G11" s="10">
        <f>IF(B11&gt;O36,C11*D11,ROUND(F11*(1+B7),0))</f>
        <v>0</v>
      </c>
      <c r="H11" s="10">
        <f>IF(B11&gt;O36,C11*D11,ROUND(G11*(1+B7),0))</f>
        <v>0</v>
      </c>
      <c r="I11" s="10">
        <f>IF(B11&gt;O36,C11*D11,ROUND(H11*(1+B7),0))</f>
        <v>0</v>
      </c>
      <c r="J11" s="10"/>
      <c r="K11" s="17">
        <f>SUM(E11:I11)</f>
        <v>0</v>
      </c>
      <c r="L11" s="54">
        <f>D11*12</f>
        <v>0</v>
      </c>
      <c r="N11" s="8" t="str">
        <f>IF(B11&gt;O36,A11,"")</f>
        <v/>
      </c>
      <c r="O11" s="10">
        <f t="shared" ref="O11:O20" si="2">ROUND(IF(N11="",0,(ROUND(((B11-C11)*D11),0))),0)</f>
        <v>0</v>
      </c>
      <c r="P11" s="10">
        <f>ROUND(O11*(1+B7),0)</f>
        <v>0</v>
      </c>
      <c r="Q11" s="10">
        <f>ROUND(P11*(1+B7),0)</f>
        <v>0</v>
      </c>
      <c r="R11" s="10">
        <f>ROUND(Q11*(1+B7),0)</f>
        <v>0</v>
      </c>
      <c r="S11" s="10">
        <f>ROUND(R11*(1+B7),0)</f>
        <v>0</v>
      </c>
      <c r="T11" s="10"/>
      <c r="U11" s="17">
        <f t="shared" ref="U11:U21" si="3">ROUND(SUM(O11:S11),0)</f>
        <v>0</v>
      </c>
      <c r="V11" s="117"/>
    </row>
    <row r="12" spans="1:22" x14ac:dyDescent="0.2">
      <c r="A12" s="88"/>
      <c r="B12" s="89">
        <v>0</v>
      </c>
      <c r="C12" s="9">
        <f>IF(B12&gt;O36,O36,B12)</f>
        <v>0</v>
      </c>
      <c r="D12" s="104">
        <v>0</v>
      </c>
      <c r="E12" s="10">
        <f t="shared" si="1"/>
        <v>0</v>
      </c>
      <c r="F12" s="10">
        <f>IF(B12&gt;O36,C12*D12,ROUND(E12*(1+B7),0))</f>
        <v>0</v>
      </c>
      <c r="G12" s="10">
        <f>IF(B12&gt;O36,C12*D12,ROUND(F12*(1+B7),0))</f>
        <v>0</v>
      </c>
      <c r="H12" s="10">
        <f>IF(B12&gt;O36,C12*D12,ROUND(G12*(1+B7),0))</f>
        <v>0</v>
      </c>
      <c r="I12" s="10">
        <f>IF(B12&gt;O36,C12*D12,ROUND(H12*(1+B7),0))</f>
        <v>0</v>
      </c>
      <c r="J12" s="10"/>
      <c r="K12" s="17">
        <f t="shared" ref="K12:K20" si="4">SUM(E12:I12)</f>
        <v>0</v>
      </c>
      <c r="L12" s="54">
        <f t="shared" ref="L12:L20" si="5">D12*12</f>
        <v>0</v>
      </c>
      <c r="N12" s="19" t="str">
        <f>IF(B12&gt;O36,A12,"")</f>
        <v/>
      </c>
      <c r="O12" s="10">
        <f t="shared" si="2"/>
        <v>0</v>
      </c>
      <c r="P12" s="10">
        <f>ROUND(O12*(1+B7),0)</f>
        <v>0</v>
      </c>
      <c r="Q12" s="10">
        <f>ROUND(P12*(1+B7),0)</f>
        <v>0</v>
      </c>
      <c r="R12" s="10">
        <f>ROUND(Q12*(1+B7),0)</f>
        <v>0</v>
      </c>
      <c r="S12" s="10">
        <f>ROUND(R12*(1+B7),0)</f>
        <v>0</v>
      </c>
      <c r="T12" s="10"/>
      <c r="U12" s="17">
        <f t="shared" si="3"/>
        <v>0</v>
      </c>
      <c r="V12" s="117"/>
    </row>
    <row r="13" spans="1:22" x14ac:dyDescent="0.2">
      <c r="A13" s="88"/>
      <c r="B13" s="89">
        <v>0</v>
      </c>
      <c r="C13" s="9">
        <f>IF(B13&gt;O36,O36,B13)</f>
        <v>0</v>
      </c>
      <c r="D13" s="104">
        <v>0</v>
      </c>
      <c r="E13" s="10">
        <f t="shared" si="1"/>
        <v>0</v>
      </c>
      <c r="F13" s="10">
        <f>IF(B13&gt;O36,C13*D13,ROUND(E13*(1+B7),0))</f>
        <v>0</v>
      </c>
      <c r="G13" s="10">
        <f>IF(B13&gt;O36,C13*D13,ROUND(F13*(1+B7),0))</f>
        <v>0</v>
      </c>
      <c r="H13" s="10">
        <f>IF(B13&gt;O36,C13*D13,ROUND(G13*(1+B7),0))</f>
        <v>0</v>
      </c>
      <c r="I13" s="10">
        <f>IF(B13&gt;O36,C13*D13,ROUND(H13*(1+B7),0))</f>
        <v>0</v>
      </c>
      <c r="J13" s="10"/>
      <c r="K13" s="17">
        <f t="shared" si="4"/>
        <v>0</v>
      </c>
      <c r="L13" s="54">
        <f t="shared" si="5"/>
        <v>0</v>
      </c>
      <c r="N13" s="19" t="str">
        <f>IF(B13&gt;O36,A13,"")</f>
        <v/>
      </c>
      <c r="O13" s="10">
        <f t="shared" si="2"/>
        <v>0</v>
      </c>
      <c r="P13" s="10">
        <f>ROUND(O13*(1+B7),0)</f>
        <v>0</v>
      </c>
      <c r="Q13" s="10">
        <f>ROUND(P13*(1+B7),0)</f>
        <v>0</v>
      </c>
      <c r="R13" s="10">
        <f>ROUND(Q13*(1+B7),0)</f>
        <v>0</v>
      </c>
      <c r="S13" s="10">
        <f>ROUND(R13*(1+B7),0)</f>
        <v>0</v>
      </c>
      <c r="T13" s="10"/>
      <c r="U13" s="17">
        <f t="shared" si="3"/>
        <v>0</v>
      </c>
      <c r="V13" s="117"/>
    </row>
    <row r="14" spans="1:22" x14ac:dyDescent="0.2">
      <c r="A14" s="88"/>
      <c r="B14" s="89">
        <v>0</v>
      </c>
      <c r="C14" s="9">
        <f>IF(B14&gt;O36,O36,B14)</f>
        <v>0</v>
      </c>
      <c r="D14" s="104">
        <v>0</v>
      </c>
      <c r="E14" s="10">
        <f t="shared" si="1"/>
        <v>0</v>
      </c>
      <c r="F14" s="10">
        <f>IF(B14&gt;O36,C14*D14,ROUND(E14*(1+B7),0))</f>
        <v>0</v>
      </c>
      <c r="G14" s="10">
        <f>IF(B14&gt;O36,C14*D14,ROUND(F14*(1+B7),0))</f>
        <v>0</v>
      </c>
      <c r="H14" s="10">
        <f>IF(B14&gt;O36,C14*D14,ROUND(G14*(1+B7),0))</f>
        <v>0</v>
      </c>
      <c r="I14" s="10">
        <f>IF(B14&gt;O36,C14*D14,ROUND(H14*(1+B7),0))</f>
        <v>0</v>
      </c>
      <c r="J14" s="10"/>
      <c r="K14" s="17">
        <f t="shared" si="4"/>
        <v>0</v>
      </c>
      <c r="L14" s="54">
        <f t="shared" si="5"/>
        <v>0</v>
      </c>
      <c r="M14" s="2"/>
      <c r="N14" s="19" t="str">
        <f>IF(B14&gt;O36,A14,"")</f>
        <v/>
      </c>
      <c r="O14" s="10">
        <f t="shared" si="2"/>
        <v>0</v>
      </c>
      <c r="P14" s="10">
        <f>ROUND(O14*(1+B7),0)</f>
        <v>0</v>
      </c>
      <c r="Q14" s="10">
        <f>ROUND(P14*(1+B7),0)</f>
        <v>0</v>
      </c>
      <c r="R14" s="10">
        <f>ROUND(Q14*(1+B7),0)</f>
        <v>0</v>
      </c>
      <c r="S14" s="10">
        <f>ROUND(R14*(1+B7),0)</f>
        <v>0</v>
      </c>
      <c r="T14" s="10"/>
      <c r="U14" s="17">
        <f t="shared" si="3"/>
        <v>0</v>
      </c>
      <c r="V14" s="117"/>
    </row>
    <row r="15" spans="1:22" x14ac:dyDescent="0.2">
      <c r="A15" s="88"/>
      <c r="B15" s="89">
        <v>0</v>
      </c>
      <c r="C15" s="9">
        <f>IF(B15&gt;O36,O36,B15)</f>
        <v>0</v>
      </c>
      <c r="D15" s="104">
        <v>0</v>
      </c>
      <c r="E15" s="10">
        <f t="shared" si="1"/>
        <v>0</v>
      </c>
      <c r="F15" s="10">
        <f>IF(B15&gt;O36,C15*D15,ROUND(E15*(1+B7),0))</f>
        <v>0</v>
      </c>
      <c r="G15" s="10">
        <f>IF(B15&gt;O36,C15*D15,ROUND(F15*(1+B7),0))</f>
        <v>0</v>
      </c>
      <c r="H15" s="10">
        <f>IF(B15&gt;O36,C15*D15,ROUND(G15*(1+B7),0))</f>
        <v>0</v>
      </c>
      <c r="I15" s="10">
        <f>IF(B15&gt;O36,C15*D15,ROUND(H15*(1+B7),0))</f>
        <v>0</v>
      </c>
      <c r="J15" s="10"/>
      <c r="K15" s="17">
        <f t="shared" si="4"/>
        <v>0</v>
      </c>
      <c r="L15" s="54">
        <f t="shared" si="5"/>
        <v>0</v>
      </c>
      <c r="N15" s="19" t="str">
        <f>IF(B15&gt;O36,A15,"")</f>
        <v/>
      </c>
      <c r="O15" s="10">
        <f t="shared" si="2"/>
        <v>0</v>
      </c>
      <c r="P15" s="10">
        <f>ROUND(O15*(1+B7),0)</f>
        <v>0</v>
      </c>
      <c r="Q15" s="10">
        <f>ROUND(P15*(1+B7),0)</f>
        <v>0</v>
      </c>
      <c r="R15" s="10">
        <f>ROUND(Q15*(1+B7),0)</f>
        <v>0</v>
      </c>
      <c r="S15" s="10">
        <f>ROUND(R15*(1+B7),0)</f>
        <v>0</v>
      </c>
      <c r="T15" s="10"/>
      <c r="U15" s="17">
        <f t="shared" si="3"/>
        <v>0</v>
      </c>
      <c r="V15" s="117"/>
    </row>
    <row r="16" spans="1:22" x14ac:dyDescent="0.2">
      <c r="A16" s="88"/>
      <c r="B16" s="89">
        <v>0</v>
      </c>
      <c r="C16" s="9">
        <f>IF(B16&gt;O36,O36,B16)</f>
        <v>0</v>
      </c>
      <c r="D16" s="104">
        <v>0</v>
      </c>
      <c r="E16" s="10">
        <f t="shared" si="1"/>
        <v>0</v>
      </c>
      <c r="F16" s="10">
        <f>IF(B16&gt;O36,C16*D16,ROUND(E16*(1+B7),0))</f>
        <v>0</v>
      </c>
      <c r="G16" s="10">
        <f>IF(B16&gt;O36,C16*D16,ROUND(F16*(1+B7),0))</f>
        <v>0</v>
      </c>
      <c r="H16" s="10">
        <f>IF(B16&gt;O36,C16*D16,ROUND(G16*(1+B7),0))</f>
        <v>0</v>
      </c>
      <c r="I16" s="10">
        <f>IF(B16&gt;O36,C16*D16,ROUND(H16*(1+B7),0))</f>
        <v>0</v>
      </c>
      <c r="J16" s="10"/>
      <c r="K16" s="17">
        <f t="shared" si="4"/>
        <v>0</v>
      </c>
      <c r="L16" s="54">
        <f t="shared" si="5"/>
        <v>0</v>
      </c>
      <c r="N16" s="19" t="str">
        <f>IF(B16&gt;O36,A16,"")</f>
        <v/>
      </c>
      <c r="O16" s="10">
        <f t="shared" si="2"/>
        <v>0</v>
      </c>
      <c r="P16" s="10">
        <f>ROUND(O16*(1+B7),0)</f>
        <v>0</v>
      </c>
      <c r="Q16" s="10">
        <f>ROUND(P16*(1+B7),0)</f>
        <v>0</v>
      </c>
      <c r="R16" s="10">
        <f>ROUND(Q16*(1+B7),0)</f>
        <v>0</v>
      </c>
      <c r="S16" s="10">
        <f>ROUND(R16*(1+B7),0)</f>
        <v>0</v>
      </c>
      <c r="T16" s="10"/>
      <c r="U16" s="17">
        <f t="shared" si="3"/>
        <v>0</v>
      </c>
      <c r="V16" s="117"/>
    </row>
    <row r="17" spans="1:22" x14ac:dyDescent="0.2">
      <c r="A17" s="88"/>
      <c r="B17" s="89">
        <v>0</v>
      </c>
      <c r="C17" s="9">
        <f>IF(B17&gt;O36,O36,B17)</f>
        <v>0</v>
      </c>
      <c r="D17" s="104">
        <v>0</v>
      </c>
      <c r="E17" s="10">
        <f t="shared" si="1"/>
        <v>0</v>
      </c>
      <c r="F17" s="10">
        <f>IF(B17&gt;O36,C17*D17,ROUND(E17*(1+B7),0))</f>
        <v>0</v>
      </c>
      <c r="G17" s="10">
        <f>IF(B17&gt;O36,C17*D17,ROUND(F17*(1+B7),0))</f>
        <v>0</v>
      </c>
      <c r="H17" s="10">
        <f>IF(B17&gt;O36,C17*D17,ROUND(G17*(1+B7),0))</f>
        <v>0</v>
      </c>
      <c r="I17" s="10">
        <f>IF(B17&gt;O36,C17*D17,ROUND(H17*(1+B7),0))</f>
        <v>0</v>
      </c>
      <c r="J17" s="10"/>
      <c r="K17" s="17">
        <f t="shared" si="4"/>
        <v>0</v>
      </c>
      <c r="L17" s="54">
        <f t="shared" si="5"/>
        <v>0</v>
      </c>
      <c r="N17" s="19" t="str">
        <f>IF(B17&gt;O36,A17,"")</f>
        <v/>
      </c>
      <c r="O17" s="10">
        <f t="shared" si="2"/>
        <v>0</v>
      </c>
      <c r="P17" s="10">
        <f>ROUND(O17*(1+B7),0)</f>
        <v>0</v>
      </c>
      <c r="Q17" s="10">
        <f>ROUND(P17*(1+B7),0)</f>
        <v>0</v>
      </c>
      <c r="R17" s="10">
        <f>ROUND(Q17*(1+B7),0)</f>
        <v>0</v>
      </c>
      <c r="S17" s="10">
        <f>ROUND(R17*(1+B7),0)</f>
        <v>0</v>
      </c>
      <c r="T17" s="10"/>
      <c r="U17" s="17">
        <f t="shared" si="3"/>
        <v>0</v>
      </c>
      <c r="V17" s="117"/>
    </row>
    <row r="18" spans="1:22" x14ac:dyDescent="0.2">
      <c r="A18" s="88"/>
      <c r="B18" s="89">
        <v>0</v>
      </c>
      <c r="C18" s="9">
        <f>IF(B18&gt;O36,O36,B18)</f>
        <v>0</v>
      </c>
      <c r="D18" s="104">
        <v>0</v>
      </c>
      <c r="E18" s="10">
        <f t="shared" si="1"/>
        <v>0</v>
      </c>
      <c r="F18" s="10">
        <f>IF(B18&gt;O36,C18*D18,ROUND(E18*(1+B7),0))</f>
        <v>0</v>
      </c>
      <c r="G18" s="10">
        <f>IF(B18&gt;O36,C18*D18,ROUND(F18*(1+B7),0))</f>
        <v>0</v>
      </c>
      <c r="H18" s="10">
        <f>IF(B18&gt;O36,C18*D18,ROUND(G18*(1+B7),0))</f>
        <v>0</v>
      </c>
      <c r="I18" s="10">
        <f>IF(B18&gt;O36,C18*D18,ROUND(H18*(1+B7),0))</f>
        <v>0</v>
      </c>
      <c r="J18" s="10"/>
      <c r="K18" s="17">
        <f t="shared" si="4"/>
        <v>0</v>
      </c>
      <c r="L18" s="54">
        <f t="shared" si="5"/>
        <v>0</v>
      </c>
      <c r="N18" s="19" t="str">
        <f>IF(B18&gt;O36,A18,"")</f>
        <v/>
      </c>
      <c r="O18" s="10">
        <f t="shared" si="2"/>
        <v>0</v>
      </c>
      <c r="P18" s="10">
        <f>ROUND(O18*(1+B7),0)</f>
        <v>0</v>
      </c>
      <c r="Q18" s="10">
        <f>ROUND(P18*(1+B7),0)</f>
        <v>0</v>
      </c>
      <c r="R18" s="10">
        <f>ROUND(Q18*(1+B7),0)</f>
        <v>0</v>
      </c>
      <c r="S18" s="10">
        <f>ROUND(R18*(1+B7),)</f>
        <v>0</v>
      </c>
      <c r="T18" s="10"/>
      <c r="U18" s="17">
        <f t="shared" si="3"/>
        <v>0</v>
      </c>
      <c r="V18" s="117"/>
    </row>
    <row r="19" spans="1:22" x14ac:dyDescent="0.2">
      <c r="A19" s="88"/>
      <c r="B19" s="89">
        <v>0</v>
      </c>
      <c r="C19" s="9">
        <f>IF(B19&gt;O36,O36,B19)</f>
        <v>0</v>
      </c>
      <c r="D19" s="104">
        <v>0</v>
      </c>
      <c r="E19" s="10">
        <f t="shared" si="1"/>
        <v>0</v>
      </c>
      <c r="F19" s="10">
        <f>IF(B19&gt;O36,C19*D19,ROUND(E19*(1+B7),0))</f>
        <v>0</v>
      </c>
      <c r="G19" s="10">
        <f>IF(B19&gt;O36,C19*D19,ROUND(F19*(1+B7),0))</f>
        <v>0</v>
      </c>
      <c r="H19" s="10">
        <f>IF(B19&gt;O36,C19*D19,ROUND(G19*(1+B7),0))</f>
        <v>0</v>
      </c>
      <c r="I19" s="10">
        <f>IF(B19&gt;O36,C19*D19,ROUND(H19*(1+B7),0))</f>
        <v>0</v>
      </c>
      <c r="J19" s="10"/>
      <c r="K19" s="17">
        <f t="shared" si="4"/>
        <v>0</v>
      </c>
      <c r="L19" s="54">
        <f t="shared" si="5"/>
        <v>0</v>
      </c>
      <c r="N19" s="19" t="str">
        <f>IF(B19&gt;O36,A19,"")</f>
        <v/>
      </c>
      <c r="O19" s="10">
        <f t="shared" si="2"/>
        <v>0</v>
      </c>
      <c r="P19" s="10">
        <f>ROUND(O19*(1+B7),0)</f>
        <v>0</v>
      </c>
      <c r="Q19" s="10">
        <f>ROUND(P19*(1+B7),0)</f>
        <v>0</v>
      </c>
      <c r="R19" s="10">
        <f>ROUND(Q19*(1+B7),0)</f>
        <v>0</v>
      </c>
      <c r="S19" s="10">
        <f>ROUND(R19*(1+B7),0)</f>
        <v>0</v>
      </c>
      <c r="T19" s="10"/>
      <c r="U19" s="17">
        <f t="shared" si="3"/>
        <v>0</v>
      </c>
      <c r="V19" s="117"/>
    </row>
    <row r="20" spans="1:22" x14ac:dyDescent="0.2">
      <c r="A20" s="88"/>
      <c r="B20" s="89">
        <v>0</v>
      </c>
      <c r="C20" s="9">
        <f>IF(B20&gt;O36,O36,B20)</f>
        <v>0</v>
      </c>
      <c r="D20" s="104">
        <v>0</v>
      </c>
      <c r="E20" s="10">
        <f t="shared" si="1"/>
        <v>0</v>
      </c>
      <c r="F20" s="10">
        <f>IF(B20&gt;O36,C20*D20,ROUND(E20*(1+B7),0))</f>
        <v>0</v>
      </c>
      <c r="G20" s="10">
        <f>IF(B20&gt;O36,C20*D20,ROUND(F20*(1+B7),0))</f>
        <v>0</v>
      </c>
      <c r="H20" s="10">
        <f>IF(B20&gt;O36,C20*D20,ROUND(G20*(1+B7),0))</f>
        <v>0</v>
      </c>
      <c r="I20" s="10">
        <f>IF(B20&gt;O36,C20*D20,ROUND(H20*(1+B7),0))</f>
        <v>0</v>
      </c>
      <c r="J20" s="10"/>
      <c r="K20" s="17">
        <f t="shared" si="4"/>
        <v>0</v>
      </c>
      <c r="L20" s="54">
        <f t="shared" si="5"/>
        <v>0</v>
      </c>
      <c r="N20" s="19" t="str">
        <f>IF(B20&gt;O36,A20,"")</f>
        <v/>
      </c>
      <c r="O20" s="10">
        <f t="shared" si="2"/>
        <v>0</v>
      </c>
      <c r="P20" s="10">
        <f>ROUND(O20*(1+B7),0)</f>
        <v>0</v>
      </c>
      <c r="Q20" s="10">
        <f>ROUND(P20*(1+B7),0)</f>
        <v>0</v>
      </c>
      <c r="R20" s="10">
        <f>ROUND(Q20*(1+B7),0)</f>
        <v>0</v>
      </c>
      <c r="S20" s="10">
        <f>ROUND(R20*(1+B7),0)</f>
        <v>0</v>
      </c>
      <c r="T20" s="10"/>
      <c r="U20" s="17">
        <f t="shared" si="3"/>
        <v>0</v>
      </c>
      <c r="V20" s="91"/>
    </row>
    <row r="21" spans="1:22" s="5" customFormat="1" x14ac:dyDescent="0.2">
      <c r="A21" s="155" t="s">
        <v>13</v>
      </c>
      <c r="B21" s="156"/>
      <c r="C21" s="156"/>
      <c r="D21" s="157"/>
      <c r="E21" s="13">
        <f>SUM(E11:E20)</f>
        <v>0</v>
      </c>
      <c r="F21" s="13">
        <f>SUM(F11:F20)</f>
        <v>0</v>
      </c>
      <c r="G21" s="13">
        <f>SUM(G11:G20)</f>
        <v>0</v>
      </c>
      <c r="H21" s="13">
        <f>SUM(H11:H20)</f>
        <v>0</v>
      </c>
      <c r="I21" s="13">
        <f>SUM(I11:I20)</f>
        <v>0</v>
      </c>
      <c r="J21" s="13"/>
      <c r="K21" s="13">
        <f>SUM(E21:I21)</f>
        <v>0</v>
      </c>
      <c r="N21" s="16" t="s">
        <v>13</v>
      </c>
      <c r="O21" s="13">
        <f>ROUND(SUM(O11:O20),0)</f>
        <v>0</v>
      </c>
      <c r="P21" s="13">
        <f>ROUND(SUM(P11:P20),0)</f>
        <v>0</v>
      </c>
      <c r="Q21" s="13">
        <f>ROUND(SUM(Q11:Q20),0)</f>
        <v>0</v>
      </c>
      <c r="R21" s="13">
        <f>ROUND(SUM(R11:R20),0)</f>
        <v>0</v>
      </c>
      <c r="S21" s="13">
        <f>ROUND(SUM(S11:S20),0)</f>
        <v>0</v>
      </c>
      <c r="T21" s="13"/>
      <c r="U21" s="13">
        <f t="shared" si="3"/>
        <v>0</v>
      </c>
      <c r="V21" s="4"/>
    </row>
    <row r="22" spans="1:22" s="4" customFormat="1" x14ac:dyDescent="0.2">
      <c r="A22" s="40" t="s">
        <v>14</v>
      </c>
      <c r="B22" s="7"/>
      <c r="C22" s="7" t="s">
        <v>66</v>
      </c>
      <c r="D22" s="7" t="s">
        <v>15</v>
      </c>
      <c r="E22" s="7" t="s">
        <v>4</v>
      </c>
      <c r="F22" s="7" t="s">
        <v>5</v>
      </c>
      <c r="G22" s="7" t="s">
        <v>6</v>
      </c>
      <c r="H22" s="7" t="s">
        <v>7</v>
      </c>
      <c r="I22" s="7" t="s">
        <v>8</v>
      </c>
      <c r="J22" s="7"/>
      <c r="K22" s="7" t="s">
        <v>10</v>
      </c>
      <c r="N22" s="7" t="s">
        <v>14</v>
      </c>
      <c r="O22" s="7" t="s">
        <v>4</v>
      </c>
      <c r="P22" s="7" t="s">
        <v>5</v>
      </c>
      <c r="Q22" s="7" t="s">
        <v>6</v>
      </c>
      <c r="R22" s="7" t="s">
        <v>7</v>
      </c>
      <c r="S22" s="7" t="s">
        <v>8</v>
      </c>
      <c r="T22" s="7"/>
      <c r="U22" s="7" t="s">
        <v>10</v>
      </c>
      <c r="V22" s="15" t="s">
        <v>35</v>
      </c>
    </row>
    <row r="23" spans="1:22" x14ac:dyDescent="0.2">
      <c r="A23" s="146" t="str">
        <f>IF(ISBLANK(A11),"",A11)</f>
        <v/>
      </c>
      <c r="B23" s="147"/>
      <c r="C23" s="91"/>
      <c r="D23" s="90">
        <f>IF(C23="GRA",0,O37)</f>
        <v>0.28499999999999998</v>
      </c>
      <c r="E23" s="10">
        <f>ROUND(IF(C23="GRA",O38,E11*D23),0)</f>
        <v>0</v>
      </c>
      <c r="F23" s="10">
        <f>ROUND(IF(C23="GRA",E23*(1+B7),F11*D23),0)</f>
        <v>0</v>
      </c>
      <c r="G23" s="10">
        <f>ROUND(IF(C23="GRA",F23*(1+B7),G11*D23),0)</f>
        <v>0</v>
      </c>
      <c r="H23" s="10">
        <f>ROUND(IF(C23="GRA",G23*(1+B7),H11*D23),0)</f>
        <v>0</v>
      </c>
      <c r="I23" s="10">
        <f>ROUND(IF(C23="GRA",H23*(1+B7),I11*D23),0)</f>
        <v>0</v>
      </c>
      <c r="J23" s="8"/>
      <c r="K23" s="11">
        <f>SUM(E23:I23)</f>
        <v>0</v>
      </c>
      <c r="N23" s="19" t="str">
        <f>IF(ISBLANK(N11),"",N11)</f>
        <v/>
      </c>
      <c r="O23" s="10">
        <f t="shared" ref="O23:O32" si="6">ROUND(O11*D23,0)</f>
        <v>0</v>
      </c>
      <c r="P23" s="10">
        <f t="shared" ref="P23:P32" si="7">ROUND(P11*D23,0)</f>
        <v>0</v>
      </c>
      <c r="Q23" s="10">
        <f t="shared" ref="Q23:Q32" si="8">ROUND(Q11*D23,0)</f>
        <v>0</v>
      </c>
      <c r="R23" s="10">
        <f t="shared" ref="R23:R32" si="9">ROUND(R11*D23,0)</f>
        <v>0</v>
      </c>
      <c r="S23" s="10">
        <f t="shared" ref="S23:S32" si="10">ROUND(S11*D23,0)</f>
        <v>0</v>
      </c>
      <c r="T23" s="8"/>
      <c r="U23" s="11">
        <f t="shared" ref="U23:U33" si="11">ROUND(SUM(O23:S23),0)</f>
        <v>0</v>
      </c>
      <c r="V23" s="96" t="str">
        <f>IF(ISBLANK(V11),"",V11)</f>
        <v/>
      </c>
    </row>
    <row r="24" spans="1:22" x14ac:dyDescent="0.2">
      <c r="A24" s="146" t="str">
        <f t="shared" ref="A24:A32" si="12">IF(ISBLANK(A12),"",A12)</f>
        <v/>
      </c>
      <c r="B24" s="147"/>
      <c r="C24" s="91"/>
      <c r="D24" s="90">
        <f>IF(C24="GRA",0,O37)</f>
        <v>0.28499999999999998</v>
      </c>
      <c r="E24" s="10">
        <f>ROUND(IF(C24="GRA",O38,E12*D24),0)</f>
        <v>0</v>
      </c>
      <c r="F24" s="10">
        <f>ROUND(IF(C24="GRA",E24*(1+B7),F12*D24),0)</f>
        <v>0</v>
      </c>
      <c r="G24" s="10">
        <f>ROUND(IF(C24="GRA",F24*(1+B7),G12*D24),0)</f>
        <v>0</v>
      </c>
      <c r="H24" s="10">
        <f>ROUND(IF(C24="GRA",G24*(1+B7),H12*D24),0)</f>
        <v>0</v>
      </c>
      <c r="I24" s="10">
        <f>ROUND(IF(C24="GRA",H24*(1+B7),I12*D24),0)</f>
        <v>0</v>
      </c>
      <c r="J24" s="8"/>
      <c r="K24" s="11">
        <f t="shared" ref="K24:K32" si="13">SUM(E24:I24)</f>
        <v>0</v>
      </c>
      <c r="N24" s="19" t="str">
        <f t="shared" ref="N24:N32" si="14">IF(ISBLANK(N12),"",N12)</f>
        <v/>
      </c>
      <c r="O24" s="10">
        <f t="shared" si="6"/>
        <v>0</v>
      </c>
      <c r="P24" s="10">
        <f t="shared" si="7"/>
        <v>0</v>
      </c>
      <c r="Q24" s="10">
        <f t="shared" si="8"/>
        <v>0</v>
      </c>
      <c r="R24" s="10">
        <f t="shared" si="9"/>
        <v>0</v>
      </c>
      <c r="S24" s="10">
        <f t="shared" si="10"/>
        <v>0</v>
      </c>
      <c r="T24" s="8"/>
      <c r="U24" s="11">
        <f t="shared" si="11"/>
        <v>0</v>
      </c>
      <c r="V24" s="96" t="str">
        <f t="shared" ref="V24:V32" si="15">IF(ISBLANK(V12),"",V12)</f>
        <v/>
      </c>
    </row>
    <row r="25" spans="1:22" x14ac:dyDescent="0.2">
      <c r="A25" s="146" t="str">
        <f t="shared" si="12"/>
        <v/>
      </c>
      <c r="B25" s="147"/>
      <c r="C25" s="91"/>
      <c r="D25" s="90">
        <f>IF(C25="GRA",0,O37)</f>
        <v>0.28499999999999998</v>
      </c>
      <c r="E25" s="10">
        <f>ROUND(IF(C25="GRA",O38,E13*D25),0)</f>
        <v>0</v>
      </c>
      <c r="F25" s="10">
        <f>ROUND(IF(C25="GRA",E25*(1+B7),F13*D25),0)</f>
        <v>0</v>
      </c>
      <c r="G25" s="10">
        <f>ROUND(IF(C25="GRA",F25*(1+B7),G13*D25),0)</f>
        <v>0</v>
      </c>
      <c r="H25" s="10">
        <f>ROUND(IF(C25="GRA",G25*(1+B7),H13*D25),0)</f>
        <v>0</v>
      </c>
      <c r="I25" s="10">
        <f>ROUND(IF(C25="GRA",H25*(1+B7),I13*D25),0)</f>
        <v>0</v>
      </c>
      <c r="J25" s="8"/>
      <c r="K25" s="11">
        <f t="shared" si="13"/>
        <v>0</v>
      </c>
      <c r="N25" s="19" t="str">
        <f t="shared" si="14"/>
        <v/>
      </c>
      <c r="O25" s="10">
        <f t="shared" si="6"/>
        <v>0</v>
      </c>
      <c r="P25" s="10">
        <f t="shared" si="7"/>
        <v>0</v>
      </c>
      <c r="Q25" s="10">
        <f t="shared" si="8"/>
        <v>0</v>
      </c>
      <c r="R25" s="10">
        <f t="shared" si="9"/>
        <v>0</v>
      </c>
      <c r="S25" s="10">
        <f t="shared" si="10"/>
        <v>0</v>
      </c>
      <c r="T25" s="8"/>
      <c r="U25" s="11">
        <f t="shared" si="11"/>
        <v>0</v>
      </c>
      <c r="V25" s="96" t="str">
        <f t="shared" si="15"/>
        <v/>
      </c>
    </row>
    <row r="26" spans="1:22" x14ac:dyDescent="0.2">
      <c r="A26" s="146" t="str">
        <f t="shared" si="12"/>
        <v/>
      </c>
      <c r="B26" s="147"/>
      <c r="C26" s="91"/>
      <c r="D26" s="90">
        <f>IF(C26="GRA",0,O37)</f>
        <v>0.28499999999999998</v>
      </c>
      <c r="E26" s="10">
        <f>ROUND(IF(C26="GRA",O38,E14*D26),0)</f>
        <v>0</v>
      </c>
      <c r="F26" s="10">
        <f>ROUND(IF(C26="GRA",E26*(1+B7),F14*D26),0)</f>
        <v>0</v>
      </c>
      <c r="G26" s="10">
        <f>ROUND(IF(C26="GRA",F26*(1+B7),G14*D26),0)</f>
        <v>0</v>
      </c>
      <c r="H26" s="10">
        <f>ROUND(IF(C26="GRA",G26*(1+B7),H14*D26),0)</f>
        <v>0</v>
      </c>
      <c r="I26" s="10">
        <f>ROUND(IF(C26="GRA",H26*(1+B7),I14*D26),0)</f>
        <v>0</v>
      </c>
      <c r="J26" s="8"/>
      <c r="K26" s="11">
        <f t="shared" si="13"/>
        <v>0</v>
      </c>
      <c r="N26" s="19" t="str">
        <f t="shared" si="14"/>
        <v/>
      </c>
      <c r="O26" s="10">
        <f t="shared" si="6"/>
        <v>0</v>
      </c>
      <c r="P26" s="10">
        <f t="shared" si="7"/>
        <v>0</v>
      </c>
      <c r="Q26" s="10">
        <f t="shared" si="8"/>
        <v>0</v>
      </c>
      <c r="R26" s="10">
        <f t="shared" si="9"/>
        <v>0</v>
      </c>
      <c r="S26" s="10">
        <f t="shared" si="10"/>
        <v>0</v>
      </c>
      <c r="T26" s="8"/>
      <c r="U26" s="11">
        <f t="shared" si="11"/>
        <v>0</v>
      </c>
      <c r="V26" s="96" t="str">
        <f t="shared" si="15"/>
        <v/>
      </c>
    </row>
    <row r="27" spans="1:22" x14ac:dyDescent="0.2">
      <c r="A27" s="146" t="str">
        <f t="shared" si="12"/>
        <v/>
      </c>
      <c r="B27" s="147"/>
      <c r="C27" s="91"/>
      <c r="D27" s="90">
        <f>IF(C27="GRA",0,O37)</f>
        <v>0.28499999999999998</v>
      </c>
      <c r="E27" s="10">
        <f>ROUND(IF(C27="GRA",O38,E15*D27),0)</f>
        <v>0</v>
      </c>
      <c r="F27" s="10">
        <f>ROUND(IF(C27="GRA",E27*(1+B7),F15*D27),0)</f>
        <v>0</v>
      </c>
      <c r="G27" s="10">
        <f>ROUND(IF(C27="GRA",F27*(1+B7),G15*D27),0)</f>
        <v>0</v>
      </c>
      <c r="H27" s="10">
        <f>ROUND(IF(C27="GRA",G27*(1+B7),H15*D27),0)</f>
        <v>0</v>
      </c>
      <c r="I27" s="10">
        <f>ROUND(IF(C27="GRA",H27*(1+B7),I15*D27),0)</f>
        <v>0</v>
      </c>
      <c r="J27" s="8"/>
      <c r="K27" s="11">
        <f t="shared" si="13"/>
        <v>0</v>
      </c>
      <c r="N27" s="19" t="str">
        <f t="shared" si="14"/>
        <v/>
      </c>
      <c r="O27" s="10">
        <f t="shared" si="6"/>
        <v>0</v>
      </c>
      <c r="P27" s="10">
        <f t="shared" si="7"/>
        <v>0</v>
      </c>
      <c r="Q27" s="10">
        <f t="shared" si="8"/>
        <v>0</v>
      </c>
      <c r="R27" s="10">
        <f t="shared" si="9"/>
        <v>0</v>
      </c>
      <c r="S27" s="10">
        <f t="shared" si="10"/>
        <v>0</v>
      </c>
      <c r="T27" s="8"/>
      <c r="U27" s="11">
        <f t="shared" si="11"/>
        <v>0</v>
      </c>
      <c r="V27" s="96" t="str">
        <f t="shared" si="15"/>
        <v/>
      </c>
    </row>
    <row r="28" spans="1:22" x14ac:dyDescent="0.2">
      <c r="A28" s="146" t="str">
        <f t="shared" si="12"/>
        <v/>
      </c>
      <c r="B28" s="147"/>
      <c r="C28" s="91"/>
      <c r="D28" s="90">
        <f>IF(C28="GRA",0,O37)</f>
        <v>0.28499999999999998</v>
      </c>
      <c r="E28" s="10">
        <f>ROUND(IF(C28="GRA",O38,E16*D28),0)</f>
        <v>0</v>
      </c>
      <c r="F28" s="10">
        <f>ROUND(IF(C28="GRA",E28*(1+B7),F16*D28),0)</f>
        <v>0</v>
      </c>
      <c r="G28" s="10">
        <f>ROUND(IF(C28="GRA",F28*(1+B7),G16*D28),0)</f>
        <v>0</v>
      </c>
      <c r="H28" s="10">
        <f>ROUND(IF(C28="GRA",G28*(1+B7),H16*D28),0)</f>
        <v>0</v>
      </c>
      <c r="I28" s="10">
        <f>ROUND(IF(C28="GRA",H28*(1+B7),I16*D28),0)</f>
        <v>0</v>
      </c>
      <c r="J28" s="8"/>
      <c r="K28" s="11">
        <f t="shared" si="13"/>
        <v>0</v>
      </c>
      <c r="N28" s="19" t="str">
        <f t="shared" si="14"/>
        <v/>
      </c>
      <c r="O28" s="10">
        <f t="shared" si="6"/>
        <v>0</v>
      </c>
      <c r="P28" s="10">
        <f t="shared" si="7"/>
        <v>0</v>
      </c>
      <c r="Q28" s="10">
        <f t="shared" si="8"/>
        <v>0</v>
      </c>
      <c r="R28" s="10">
        <f t="shared" si="9"/>
        <v>0</v>
      </c>
      <c r="S28" s="10">
        <f t="shared" si="10"/>
        <v>0</v>
      </c>
      <c r="T28" s="8"/>
      <c r="U28" s="11">
        <f t="shared" si="11"/>
        <v>0</v>
      </c>
      <c r="V28" s="96" t="str">
        <f t="shared" si="15"/>
        <v/>
      </c>
    </row>
    <row r="29" spans="1:22" x14ac:dyDescent="0.2">
      <c r="A29" s="146" t="str">
        <f t="shared" si="12"/>
        <v/>
      </c>
      <c r="B29" s="147"/>
      <c r="C29" s="91"/>
      <c r="D29" s="90">
        <f>IF(C29="GRA",0,O37)</f>
        <v>0.28499999999999998</v>
      </c>
      <c r="E29" s="10">
        <f>ROUND(IF(C29="GRA",O38,E17*D29),0)</f>
        <v>0</v>
      </c>
      <c r="F29" s="10">
        <f>ROUND(IF(C29="GRA",E29*(1+B7),F17*D29),0)</f>
        <v>0</v>
      </c>
      <c r="G29" s="10">
        <f>ROUND(IF(C29="GRA",F29*(1+B7),G17*D29),0)</f>
        <v>0</v>
      </c>
      <c r="H29" s="10">
        <f>ROUND(IF(C29="GRA",G29*(1+B7),H17*D29),0)</f>
        <v>0</v>
      </c>
      <c r="I29" s="10">
        <f>ROUND(IF(C29="GRA",H29*(1+B7),I17*D29),0)</f>
        <v>0</v>
      </c>
      <c r="J29" s="8"/>
      <c r="K29" s="11">
        <f t="shared" si="13"/>
        <v>0</v>
      </c>
      <c r="N29" s="19" t="str">
        <f t="shared" si="14"/>
        <v/>
      </c>
      <c r="O29" s="10">
        <f t="shared" si="6"/>
        <v>0</v>
      </c>
      <c r="P29" s="10">
        <f t="shared" si="7"/>
        <v>0</v>
      </c>
      <c r="Q29" s="10">
        <f t="shared" si="8"/>
        <v>0</v>
      </c>
      <c r="R29" s="10">
        <f t="shared" si="9"/>
        <v>0</v>
      </c>
      <c r="S29" s="10">
        <f t="shared" si="10"/>
        <v>0</v>
      </c>
      <c r="T29" s="8"/>
      <c r="U29" s="11">
        <f t="shared" si="11"/>
        <v>0</v>
      </c>
      <c r="V29" s="96" t="str">
        <f t="shared" si="15"/>
        <v/>
      </c>
    </row>
    <row r="30" spans="1:22" x14ac:dyDescent="0.2">
      <c r="A30" s="146" t="str">
        <f t="shared" si="12"/>
        <v/>
      </c>
      <c r="B30" s="147"/>
      <c r="C30" s="91"/>
      <c r="D30" s="90">
        <f>IF(C30="GRA",0,O37)</f>
        <v>0.28499999999999998</v>
      </c>
      <c r="E30" s="10">
        <f>ROUND(IF(C30="GRA",O38,E18*D30),0)</f>
        <v>0</v>
      </c>
      <c r="F30" s="10">
        <f>ROUND(IF(C30="GRA",E30*(1+B7),F18*D30),0)</f>
        <v>0</v>
      </c>
      <c r="G30" s="10">
        <f>ROUND(IF(C30="GRA",F30*(1+B7),G18*D30),0)</f>
        <v>0</v>
      </c>
      <c r="H30" s="10">
        <f>ROUND(IF(C30="GRA",G30*(1+B7),H18*D30),0)</f>
        <v>0</v>
      </c>
      <c r="I30" s="10">
        <f>ROUND(IF(C30="GRA",H30*(1+B7),I18*D30),0)</f>
        <v>0</v>
      </c>
      <c r="J30" s="8"/>
      <c r="K30" s="11">
        <f t="shared" si="13"/>
        <v>0</v>
      </c>
      <c r="N30" s="19" t="str">
        <f t="shared" si="14"/>
        <v/>
      </c>
      <c r="O30" s="10">
        <f t="shared" si="6"/>
        <v>0</v>
      </c>
      <c r="P30" s="10">
        <f t="shared" si="7"/>
        <v>0</v>
      </c>
      <c r="Q30" s="10">
        <f t="shared" si="8"/>
        <v>0</v>
      </c>
      <c r="R30" s="10">
        <f t="shared" si="9"/>
        <v>0</v>
      </c>
      <c r="S30" s="10">
        <f t="shared" si="10"/>
        <v>0</v>
      </c>
      <c r="T30" s="8"/>
      <c r="U30" s="11">
        <f t="shared" si="11"/>
        <v>0</v>
      </c>
      <c r="V30" s="96" t="str">
        <f t="shared" si="15"/>
        <v/>
      </c>
    </row>
    <row r="31" spans="1:22" x14ac:dyDescent="0.2">
      <c r="A31" s="146" t="str">
        <f t="shared" si="12"/>
        <v/>
      </c>
      <c r="B31" s="147"/>
      <c r="C31" s="91"/>
      <c r="D31" s="90">
        <f>IF(C31="GRA",0,O37)</f>
        <v>0.28499999999999998</v>
      </c>
      <c r="E31" s="10">
        <f>ROUND(IF(C31="GRA",O38,E19*D31),0)</f>
        <v>0</v>
      </c>
      <c r="F31" s="10">
        <f>ROUND(IF(C31="GRA",E31*(1+B7),F19*D31),0)</f>
        <v>0</v>
      </c>
      <c r="G31" s="10">
        <f>ROUND(IF(C31="GRA",F31*(1+B7),G19*D31),0)</f>
        <v>0</v>
      </c>
      <c r="H31" s="10">
        <f>ROUND(IF(C31="GRA",G31*(1+B7),H19*D31),0)</f>
        <v>0</v>
      </c>
      <c r="I31" s="10">
        <f>ROUND(IF(C31="GRA",H31*(1+B7),I19*D31),0)</f>
        <v>0</v>
      </c>
      <c r="J31" s="8"/>
      <c r="K31" s="11">
        <f t="shared" si="13"/>
        <v>0</v>
      </c>
      <c r="N31" s="19" t="str">
        <f t="shared" si="14"/>
        <v/>
      </c>
      <c r="O31" s="10">
        <f t="shared" si="6"/>
        <v>0</v>
      </c>
      <c r="P31" s="10">
        <f t="shared" si="7"/>
        <v>0</v>
      </c>
      <c r="Q31" s="10">
        <f t="shared" si="8"/>
        <v>0</v>
      </c>
      <c r="R31" s="10">
        <f t="shared" si="9"/>
        <v>0</v>
      </c>
      <c r="S31" s="10">
        <f t="shared" si="10"/>
        <v>0</v>
      </c>
      <c r="T31" s="8"/>
      <c r="U31" s="11">
        <f t="shared" si="11"/>
        <v>0</v>
      </c>
      <c r="V31" s="96" t="str">
        <f t="shared" si="15"/>
        <v/>
      </c>
    </row>
    <row r="32" spans="1:22" x14ac:dyDescent="0.2">
      <c r="A32" s="146" t="str">
        <f t="shared" si="12"/>
        <v/>
      </c>
      <c r="B32" s="147"/>
      <c r="C32" s="91"/>
      <c r="D32" s="90">
        <f>IF(C32="GRA",0,O37)</f>
        <v>0.28499999999999998</v>
      </c>
      <c r="E32" s="10">
        <f>ROUND(IF(C32="GRA",O38,E20*D32),0)</f>
        <v>0</v>
      </c>
      <c r="F32" s="10">
        <f>ROUND(IF(C32="GRA",E32*(1+B7),F20*D32),0)</f>
        <v>0</v>
      </c>
      <c r="G32" s="10">
        <f>ROUND(IF(C32="GRA",F32*(1+B7),G20*D32),0)</f>
        <v>0</v>
      </c>
      <c r="H32" s="10">
        <f>ROUND(IF(C32="GRA",G32*(1+B7),H20*D32),0)</f>
        <v>0</v>
      </c>
      <c r="I32" s="10">
        <f>ROUND(IF(C32="GRA",H32*(1+B7),I20*D32),0)</f>
        <v>0</v>
      </c>
      <c r="J32" s="8"/>
      <c r="K32" s="11">
        <f t="shared" si="13"/>
        <v>0</v>
      </c>
      <c r="N32" s="19" t="str">
        <f t="shared" si="14"/>
        <v/>
      </c>
      <c r="O32" s="10">
        <f t="shared" si="6"/>
        <v>0</v>
      </c>
      <c r="P32" s="10">
        <f t="shared" si="7"/>
        <v>0</v>
      </c>
      <c r="Q32" s="10">
        <f t="shared" si="8"/>
        <v>0</v>
      </c>
      <c r="R32" s="10">
        <f t="shared" si="9"/>
        <v>0</v>
      </c>
      <c r="S32" s="10">
        <f t="shared" si="10"/>
        <v>0</v>
      </c>
      <c r="T32" s="8"/>
      <c r="U32" s="11">
        <f t="shared" si="11"/>
        <v>0</v>
      </c>
      <c r="V32" s="96" t="str">
        <f t="shared" si="15"/>
        <v/>
      </c>
    </row>
    <row r="33" spans="1:21" s="5" customFormat="1" x14ac:dyDescent="0.2">
      <c r="A33" s="155" t="s">
        <v>13</v>
      </c>
      <c r="B33" s="156"/>
      <c r="C33" s="156"/>
      <c r="D33" s="157"/>
      <c r="E33" s="13">
        <f>SUM(E23:E32)</f>
        <v>0</v>
      </c>
      <c r="F33" s="13">
        <f>SUM(F23:F32)</f>
        <v>0</v>
      </c>
      <c r="G33" s="13">
        <f>SUM(G23:G32)</f>
        <v>0</v>
      </c>
      <c r="H33" s="13">
        <f>SUM(H23:H32)</f>
        <v>0</v>
      </c>
      <c r="I33" s="13">
        <f>SUM(I23:I32)</f>
        <v>0</v>
      </c>
      <c r="J33" s="13"/>
      <c r="K33" s="13">
        <f>SUM(E33:I33)</f>
        <v>0</v>
      </c>
      <c r="N33" s="16" t="s">
        <v>13</v>
      </c>
      <c r="O33" s="13">
        <f>ROUND(SUM(O23:O32),0)</f>
        <v>0</v>
      </c>
      <c r="P33" s="13">
        <f>ROUND(SUM(P23:P32),0)</f>
        <v>0</v>
      </c>
      <c r="Q33" s="13">
        <f>ROUND(SUM(Q23:Q32),0)</f>
        <v>0</v>
      </c>
      <c r="R33" s="13">
        <f>ROUND(SUM(R23:R32),0)</f>
        <v>0</v>
      </c>
      <c r="S33" s="13">
        <f>ROUND(SUM(S23:S32),0)</f>
        <v>0</v>
      </c>
      <c r="T33" s="13"/>
      <c r="U33" s="13">
        <f t="shared" si="11"/>
        <v>0</v>
      </c>
    </row>
    <row r="34" spans="1:21" s="4" customFormat="1" x14ac:dyDescent="0.2">
      <c r="A34" s="40" t="s">
        <v>18</v>
      </c>
      <c r="B34" s="7"/>
      <c r="C34" s="7"/>
      <c r="D34" s="7"/>
      <c r="E34" s="7" t="s">
        <v>4</v>
      </c>
      <c r="F34" s="7" t="s">
        <v>5</v>
      </c>
      <c r="G34" s="7" t="s">
        <v>6</v>
      </c>
      <c r="H34" s="7" t="s">
        <v>7</v>
      </c>
      <c r="I34" s="7" t="s">
        <v>8</v>
      </c>
      <c r="J34" s="7"/>
      <c r="K34" s="7" t="s">
        <v>10</v>
      </c>
    </row>
    <row r="35" spans="1:21" x14ac:dyDescent="0.2">
      <c r="A35" s="148"/>
      <c r="B35" s="149"/>
      <c r="C35" s="149"/>
      <c r="D35" s="150"/>
      <c r="E35" s="92"/>
      <c r="F35" s="92"/>
      <c r="G35" s="92"/>
      <c r="H35" s="92"/>
      <c r="I35" s="92"/>
      <c r="J35" s="10"/>
      <c r="K35" s="11">
        <f t="shared" ref="K35:K40" si="16">SUM(E35:I35)</f>
        <v>0</v>
      </c>
    </row>
    <row r="36" spans="1:21" ht="12.75" x14ac:dyDescent="0.2">
      <c r="A36" s="148"/>
      <c r="B36" s="149"/>
      <c r="C36" s="149"/>
      <c r="D36" s="150"/>
      <c r="E36" s="92"/>
      <c r="F36" s="92"/>
      <c r="G36" s="92"/>
      <c r="H36" s="92"/>
      <c r="I36" s="92"/>
      <c r="J36" s="10"/>
      <c r="K36" s="11">
        <f t="shared" si="16"/>
        <v>0</v>
      </c>
      <c r="N36" s="19" t="s">
        <v>198</v>
      </c>
      <c r="O36" s="72">
        <v>192300</v>
      </c>
      <c r="P36" s="142"/>
    </row>
    <row r="37" spans="1:21" x14ac:dyDescent="0.2">
      <c r="A37" s="148"/>
      <c r="B37" s="149"/>
      <c r="C37" s="149"/>
      <c r="D37" s="150"/>
      <c r="E37" s="92"/>
      <c r="F37" s="92"/>
      <c r="G37" s="92"/>
      <c r="H37" s="92"/>
      <c r="I37" s="92"/>
      <c r="J37" s="10"/>
      <c r="K37" s="11">
        <f t="shared" si="16"/>
        <v>0</v>
      </c>
      <c r="N37" s="8" t="s">
        <v>196</v>
      </c>
      <c r="O37" s="8">
        <v>0.28499999999999998</v>
      </c>
      <c r="P37" s="3" t="s">
        <v>195</v>
      </c>
    </row>
    <row r="38" spans="1:21" x14ac:dyDescent="0.2">
      <c r="A38" s="148"/>
      <c r="B38" s="149"/>
      <c r="C38" s="149"/>
      <c r="D38" s="150"/>
      <c r="E38" s="92"/>
      <c r="F38" s="92"/>
      <c r="G38" s="92"/>
      <c r="H38" s="92"/>
      <c r="I38" s="92"/>
      <c r="J38" s="10"/>
      <c r="K38" s="11">
        <f t="shared" si="16"/>
        <v>0</v>
      </c>
      <c r="N38" s="126" t="s">
        <v>180</v>
      </c>
      <c r="O38" s="72">
        <v>2988</v>
      </c>
    </row>
    <row r="39" spans="1:21" ht="12.75" x14ac:dyDescent="0.2">
      <c r="A39" s="148"/>
      <c r="B39" s="149"/>
      <c r="C39" s="149"/>
      <c r="D39" s="150"/>
      <c r="E39" s="92"/>
      <c r="F39" s="92"/>
      <c r="G39" s="92"/>
      <c r="H39" s="92"/>
      <c r="I39" s="92"/>
      <c r="J39" s="10"/>
      <c r="K39" s="11">
        <f t="shared" si="16"/>
        <v>0</v>
      </c>
      <c r="N39" s="8" t="s">
        <v>181</v>
      </c>
      <c r="O39" s="72">
        <v>4230</v>
      </c>
      <c r="P39" s="143"/>
    </row>
    <row r="40" spans="1:21" x14ac:dyDescent="0.2">
      <c r="A40" s="148"/>
      <c r="B40" s="149"/>
      <c r="C40" s="149"/>
      <c r="D40" s="150"/>
      <c r="E40" s="92"/>
      <c r="F40" s="92"/>
      <c r="G40" s="92"/>
      <c r="H40" s="92"/>
      <c r="I40" s="92"/>
      <c r="J40" s="10"/>
      <c r="K40" s="11">
        <f t="shared" si="16"/>
        <v>0</v>
      </c>
      <c r="N40" s="8" t="s">
        <v>194</v>
      </c>
      <c r="O40" s="72">
        <v>25500</v>
      </c>
    </row>
    <row r="41" spans="1:21" s="5" customFormat="1" x14ac:dyDescent="0.2">
      <c r="A41" s="155" t="s">
        <v>13</v>
      </c>
      <c r="B41" s="156"/>
      <c r="C41" s="156"/>
      <c r="D41" s="157"/>
      <c r="E41" s="13">
        <f>ROUND(SUM(E35:E40),0)</f>
        <v>0</v>
      </c>
      <c r="F41" s="13">
        <f>ROUND(SUM(F35:F40),0)</f>
        <v>0</v>
      </c>
      <c r="G41" s="13">
        <f>ROUND(SUM(G35:G40),0)</f>
        <v>0</v>
      </c>
      <c r="H41" s="13">
        <f>ROUND(SUM(H35:H40),0)</f>
        <v>0</v>
      </c>
      <c r="I41" s="13">
        <f>ROUND(SUM(I35:I40),0)</f>
        <v>0</v>
      </c>
      <c r="J41" s="13"/>
      <c r="K41" s="13">
        <f>ROUND(SUM(E41:I41),0)</f>
        <v>0</v>
      </c>
    </row>
    <row r="42" spans="1:21" s="4" customFormat="1" x14ac:dyDescent="0.2">
      <c r="A42" s="40" t="s">
        <v>19</v>
      </c>
      <c r="B42" s="7"/>
      <c r="C42" s="7"/>
      <c r="D42" s="7"/>
      <c r="E42" s="7" t="s">
        <v>4</v>
      </c>
      <c r="F42" s="7" t="s">
        <v>5</v>
      </c>
      <c r="G42" s="7" t="s">
        <v>6</v>
      </c>
      <c r="H42" s="7" t="s">
        <v>7</v>
      </c>
      <c r="I42" s="7" t="s">
        <v>8</v>
      </c>
      <c r="J42" s="7"/>
      <c r="K42" s="7" t="s">
        <v>10</v>
      </c>
      <c r="N42" s="141" t="s">
        <v>197</v>
      </c>
      <c r="R42" s="3" t="s">
        <v>195</v>
      </c>
    </row>
    <row r="43" spans="1:21" x14ac:dyDescent="0.2">
      <c r="A43" s="146"/>
      <c r="B43" s="151"/>
      <c r="C43" s="151"/>
      <c r="D43" s="147"/>
      <c r="E43" s="10">
        <f>ROUND(E101-E82-E83-E84-E86-E87-E88-SUBCONTRACTS!B50-E90-E91-E92,0)</f>
        <v>250000</v>
      </c>
      <c r="F43" s="10">
        <f>ROUND(F101-F82-F83-F84-F86-F87-F88-SUBCONTRACTS!C50-F90-F91-F92,0)</f>
        <v>250000</v>
      </c>
      <c r="G43" s="10">
        <f>ROUND(G101-G82-G83-G84-G86-G87-G88-SUBCONTRACTS!D50-G90-G91-G92,0)</f>
        <v>250000</v>
      </c>
      <c r="H43" s="10">
        <f>ROUND(H101-H82-H83-H84-H86-H87-H88-SUBCONTRACTS!E50-H90-H91-H92,0)</f>
        <v>250000</v>
      </c>
      <c r="I43" s="10">
        <f>ROUND(I101-I82-I83-I84-I86-I87-I88-SUBCONTRACTS!F50-I90-I91-I92,0)</f>
        <v>250000</v>
      </c>
      <c r="J43" s="10"/>
      <c r="K43" s="11">
        <f>ROUND(SUM(E43:I43),0)</f>
        <v>1250000</v>
      </c>
    </row>
    <row r="44" spans="1:21" s="5" customFormat="1" x14ac:dyDescent="0.2">
      <c r="A44" s="155" t="s">
        <v>13</v>
      </c>
      <c r="B44" s="156"/>
      <c r="C44" s="156"/>
      <c r="D44" s="157"/>
      <c r="E44" s="13">
        <f>ROUND(SUM(E43:E43),0)</f>
        <v>250000</v>
      </c>
      <c r="F44" s="13">
        <f>ROUND(SUM(F43:F43),0)</f>
        <v>250000</v>
      </c>
      <c r="G44" s="13">
        <f>ROUND(SUM(G43:G43),0)</f>
        <v>250000</v>
      </c>
      <c r="H44" s="13">
        <f>ROUND(SUM(H43:H43),0)</f>
        <v>250000</v>
      </c>
      <c r="I44" s="13">
        <f>ROUND(SUM(I43:I43),0)</f>
        <v>250000</v>
      </c>
      <c r="J44" s="13"/>
      <c r="K44" s="13">
        <f>ROUND(SUM(E44:I44),0)</f>
        <v>1250000</v>
      </c>
    </row>
    <row r="45" spans="1:21" s="4" customFormat="1" x14ac:dyDescent="0.2">
      <c r="A45" s="40" t="s">
        <v>21</v>
      </c>
      <c r="B45" s="7"/>
      <c r="C45" s="7"/>
      <c r="D45" s="7"/>
      <c r="E45" s="7" t="s">
        <v>4</v>
      </c>
      <c r="F45" s="7" t="s">
        <v>5</v>
      </c>
      <c r="G45" s="7" t="s">
        <v>6</v>
      </c>
      <c r="H45" s="7" t="s">
        <v>7</v>
      </c>
      <c r="I45" s="7" t="s">
        <v>8</v>
      </c>
      <c r="J45" s="7"/>
      <c r="K45" s="7" t="s">
        <v>10</v>
      </c>
    </row>
    <row r="46" spans="1:21" x14ac:dyDescent="0.2">
      <c r="A46" s="148"/>
      <c r="B46" s="149"/>
      <c r="C46" s="149"/>
      <c r="D46" s="150"/>
      <c r="E46" s="92"/>
      <c r="F46" s="92"/>
      <c r="G46" s="92"/>
      <c r="H46" s="92"/>
      <c r="I46" s="92"/>
      <c r="J46" s="10"/>
      <c r="K46" s="11">
        <f>ROUND(SUM(E46:I46),0)</f>
        <v>0</v>
      </c>
    </row>
    <row r="47" spans="1:21" x14ac:dyDescent="0.2">
      <c r="A47" s="148"/>
      <c r="B47" s="149"/>
      <c r="C47" s="149"/>
      <c r="D47" s="150"/>
      <c r="E47" s="92"/>
      <c r="F47" s="92"/>
      <c r="G47" s="92"/>
      <c r="H47" s="92"/>
      <c r="I47" s="92"/>
      <c r="J47" s="10"/>
      <c r="K47" s="11">
        <f>ROUND(SUM(E47:I47),0)</f>
        <v>0</v>
      </c>
      <c r="N47" s="81"/>
    </row>
    <row r="48" spans="1:21" x14ac:dyDescent="0.2">
      <c r="A48" s="148"/>
      <c r="B48" s="149"/>
      <c r="C48" s="149"/>
      <c r="D48" s="150"/>
      <c r="E48" s="92"/>
      <c r="F48" s="92"/>
      <c r="G48" s="92"/>
      <c r="H48" s="92"/>
      <c r="I48" s="92"/>
      <c r="J48" s="10"/>
      <c r="K48" s="11">
        <f>ROUND(SUM(E48:I48),0)</f>
        <v>0</v>
      </c>
    </row>
    <row r="49" spans="1:11" x14ac:dyDescent="0.2">
      <c r="A49" s="148"/>
      <c r="B49" s="149"/>
      <c r="C49" s="149"/>
      <c r="D49" s="150"/>
      <c r="E49" s="92"/>
      <c r="F49" s="92"/>
      <c r="G49" s="92"/>
      <c r="H49" s="92"/>
      <c r="I49" s="92"/>
      <c r="J49" s="10"/>
      <c r="K49" s="11">
        <f>ROUND(SUM(E49:I49),0)</f>
        <v>0</v>
      </c>
    </row>
    <row r="50" spans="1:11" s="5" customFormat="1" x14ac:dyDescent="0.2">
      <c r="A50" s="155" t="s">
        <v>13</v>
      </c>
      <c r="B50" s="156"/>
      <c r="C50" s="156"/>
      <c r="D50" s="157"/>
      <c r="E50" s="13">
        <f>ROUND(SUM(E46:E49),0)</f>
        <v>0</v>
      </c>
      <c r="F50" s="13">
        <f>ROUND(SUM(F46:F49),0)</f>
        <v>0</v>
      </c>
      <c r="G50" s="13">
        <f>ROUND(SUM(G46:G49),0)</f>
        <v>0</v>
      </c>
      <c r="H50" s="13">
        <f>ROUND(SUM(H46:H49),0)</f>
        <v>0</v>
      </c>
      <c r="I50" s="13">
        <f>ROUND(SUM(I46:I49),0)</f>
        <v>0</v>
      </c>
      <c r="J50" s="13"/>
      <c r="K50" s="13">
        <f>ROUND(SUM(E50:I50),0)</f>
        <v>0</v>
      </c>
    </row>
    <row r="51" spans="1:11" s="4" customFormat="1" x14ac:dyDescent="0.2">
      <c r="A51" s="40" t="s">
        <v>58</v>
      </c>
      <c r="B51" s="7"/>
      <c r="C51" s="7"/>
      <c r="D51" s="7"/>
      <c r="E51" s="7" t="s">
        <v>4</v>
      </c>
      <c r="F51" s="7" t="s">
        <v>5</v>
      </c>
      <c r="G51" s="7" t="s">
        <v>6</v>
      </c>
      <c r="H51" s="7" t="s">
        <v>7</v>
      </c>
      <c r="I51" s="7" t="s">
        <v>8</v>
      </c>
      <c r="J51" s="7"/>
      <c r="K51" s="7" t="s">
        <v>10</v>
      </c>
    </row>
    <row r="52" spans="1:11" x14ac:dyDescent="0.2">
      <c r="A52" s="148"/>
      <c r="B52" s="149"/>
      <c r="C52" s="149"/>
      <c r="D52" s="150"/>
      <c r="E52" s="92"/>
      <c r="F52" s="92"/>
      <c r="G52" s="92"/>
      <c r="H52" s="92"/>
      <c r="I52" s="92"/>
      <c r="J52" s="10"/>
      <c r="K52" s="11">
        <f>ROUND(SUM(E52:I52),0)</f>
        <v>0</v>
      </c>
    </row>
    <row r="53" spans="1:11" x14ac:dyDescent="0.2">
      <c r="A53" s="148"/>
      <c r="B53" s="149"/>
      <c r="C53" s="149"/>
      <c r="D53" s="150"/>
      <c r="E53" s="92"/>
      <c r="F53" s="92"/>
      <c r="G53" s="92"/>
      <c r="H53" s="92"/>
      <c r="I53" s="92"/>
      <c r="J53" s="10"/>
      <c r="K53" s="11">
        <f>ROUND(SUM(E53:I53),0)</f>
        <v>0</v>
      </c>
    </row>
    <row r="54" spans="1:11" s="5" customFormat="1" x14ac:dyDescent="0.2">
      <c r="A54" s="155" t="s">
        <v>13</v>
      </c>
      <c r="B54" s="156"/>
      <c r="C54" s="156"/>
      <c r="D54" s="157"/>
      <c r="E54" s="13">
        <f>ROUND(SUM(E52:E53),0)</f>
        <v>0</v>
      </c>
      <c r="F54" s="13">
        <f>ROUND(SUM(F52:F53),0)</f>
        <v>0</v>
      </c>
      <c r="G54" s="13">
        <f>ROUND(SUM(G52:G53),0)</f>
        <v>0</v>
      </c>
      <c r="H54" s="13">
        <f>ROUND(SUM(H52:H53),0)</f>
        <v>0</v>
      </c>
      <c r="I54" s="13">
        <f>ROUND(SUM(I52:I53),0)</f>
        <v>0</v>
      </c>
      <c r="J54" s="13"/>
      <c r="K54" s="13">
        <f>ROUND(SUM(E54:I54),0)</f>
        <v>0</v>
      </c>
    </row>
    <row r="55" spans="1:11" s="5" customFormat="1" x14ac:dyDescent="0.2">
      <c r="A55" s="40" t="s">
        <v>59</v>
      </c>
      <c r="B55" s="7"/>
      <c r="C55" s="7"/>
      <c r="D55" s="7"/>
      <c r="E55" s="7" t="s">
        <v>4</v>
      </c>
      <c r="F55" s="7" t="s">
        <v>5</v>
      </c>
      <c r="G55" s="7" t="s">
        <v>6</v>
      </c>
      <c r="H55" s="7" t="s">
        <v>7</v>
      </c>
      <c r="I55" s="7" t="s">
        <v>8</v>
      </c>
      <c r="J55" s="7"/>
      <c r="K55" s="7" t="s">
        <v>10</v>
      </c>
    </row>
    <row r="56" spans="1:11" s="5" customFormat="1" x14ac:dyDescent="0.2">
      <c r="A56" s="148"/>
      <c r="B56" s="149"/>
      <c r="C56" s="149"/>
      <c r="D56" s="150"/>
      <c r="E56" s="92"/>
      <c r="F56" s="92"/>
      <c r="G56" s="92"/>
      <c r="H56" s="92"/>
      <c r="I56" s="92"/>
      <c r="J56" s="10"/>
      <c r="K56" s="11">
        <f>ROUND(SUM(E56:I56),0)</f>
        <v>0</v>
      </c>
    </row>
    <row r="57" spans="1:11" s="5" customFormat="1" x14ac:dyDescent="0.2">
      <c r="A57" s="148"/>
      <c r="B57" s="149"/>
      <c r="C57" s="149"/>
      <c r="D57" s="150"/>
      <c r="E57" s="92"/>
      <c r="F57" s="92"/>
      <c r="G57" s="92"/>
      <c r="H57" s="92"/>
      <c r="I57" s="92"/>
      <c r="J57" s="10"/>
      <c r="K57" s="11">
        <f>ROUND(SUM(E57:I57),0)</f>
        <v>0</v>
      </c>
    </row>
    <row r="58" spans="1:11" s="5" customFormat="1" x14ac:dyDescent="0.2">
      <c r="A58" s="155" t="s">
        <v>13</v>
      </c>
      <c r="B58" s="156"/>
      <c r="C58" s="156"/>
      <c r="D58" s="157"/>
      <c r="E58" s="13">
        <f>ROUND(SUM(E56:E57),0)</f>
        <v>0</v>
      </c>
      <c r="F58" s="13">
        <f>ROUND(SUM(F56:F57),0)</f>
        <v>0</v>
      </c>
      <c r="G58" s="13">
        <f>ROUND(SUM(G56:G57),0)</f>
        <v>0</v>
      </c>
      <c r="H58" s="13">
        <f>ROUND(SUM(H56:H57),0)</f>
        <v>0</v>
      </c>
      <c r="I58" s="13">
        <f>ROUND(SUM(I56:I57),0)</f>
        <v>0</v>
      </c>
      <c r="J58" s="13"/>
      <c r="K58" s="13">
        <f>ROUND(SUM(E58:I58),0)</f>
        <v>0</v>
      </c>
    </row>
    <row r="59" spans="1:11" s="4" customFormat="1" x14ac:dyDescent="0.2">
      <c r="A59" s="40" t="s">
        <v>20</v>
      </c>
      <c r="B59" s="7"/>
      <c r="C59" s="7"/>
      <c r="D59" s="7"/>
      <c r="E59" s="7" t="s">
        <v>4</v>
      </c>
      <c r="F59" s="7" t="s">
        <v>5</v>
      </c>
      <c r="G59" s="7" t="s">
        <v>6</v>
      </c>
      <c r="H59" s="7" t="s">
        <v>7</v>
      </c>
      <c r="I59" s="7" t="s">
        <v>8</v>
      </c>
      <c r="J59" s="7"/>
      <c r="K59" s="7" t="s">
        <v>10</v>
      </c>
    </row>
    <row r="60" spans="1:11" x14ac:dyDescent="0.2">
      <c r="A60" s="146" t="str">
        <f>IF(ISBLANK(SUBCONTRACTS!B4),"",SUBCONTRACTS!B4)</f>
        <v/>
      </c>
      <c r="B60" s="151"/>
      <c r="C60" s="151"/>
      <c r="D60" s="147"/>
      <c r="E60" s="10">
        <f>SUBCONTRACTS!B9</f>
        <v>0</v>
      </c>
      <c r="F60" s="10">
        <f>SUBCONTRACTS!C9</f>
        <v>0</v>
      </c>
      <c r="G60" s="10">
        <f>SUBCONTRACTS!D9</f>
        <v>0</v>
      </c>
      <c r="H60" s="10">
        <f>SUBCONTRACTS!E9</f>
        <v>0</v>
      </c>
      <c r="I60" s="10">
        <f>SUBCONTRACTS!F9</f>
        <v>0</v>
      </c>
      <c r="J60" s="8"/>
      <c r="K60" s="11">
        <f t="shared" ref="K60:K65" si="17">ROUND(SUM(E60:I60),0)</f>
        <v>0</v>
      </c>
    </row>
    <row r="61" spans="1:11" x14ac:dyDescent="0.2">
      <c r="A61" s="146" t="str">
        <f>IF(ISBLANK(SUBCONTRACTS!B13),"",SUBCONTRACTS!B13)</f>
        <v/>
      </c>
      <c r="B61" s="151"/>
      <c r="C61" s="151"/>
      <c r="D61" s="147"/>
      <c r="E61" s="10">
        <f>SUBCONTRACTS!B18</f>
        <v>0</v>
      </c>
      <c r="F61" s="10">
        <f>SUBCONTRACTS!C18</f>
        <v>0</v>
      </c>
      <c r="G61" s="10">
        <f>SUBCONTRACTS!D18</f>
        <v>0</v>
      </c>
      <c r="H61" s="10">
        <f>SUBCONTRACTS!E18</f>
        <v>0</v>
      </c>
      <c r="I61" s="10">
        <f>SUBCONTRACTS!F18</f>
        <v>0</v>
      </c>
      <c r="J61" s="8"/>
      <c r="K61" s="11">
        <f t="shared" si="17"/>
        <v>0</v>
      </c>
    </row>
    <row r="62" spans="1:11" x14ac:dyDescent="0.2">
      <c r="A62" s="146" t="str">
        <f>IF(ISBLANK(SUBCONTRACTS!B22),"",SUBCONTRACTS!B22)</f>
        <v/>
      </c>
      <c r="B62" s="151"/>
      <c r="C62" s="151"/>
      <c r="D62" s="147"/>
      <c r="E62" s="10">
        <f>SUBCONTRACTS!B27</f>
        <v>0</v>
      </c>
      <c r="F62" s="10">
        <f>SUBCONTRACTS!C27</f>
        <v>0</v>
      </c>
      <c r="G62" s="10">
        <f>SUBCONTRACTS!D27</f>
        <v>0</v>
      </c>
      <c r="H62" s="10">
        <f>SUBCONTRACTS!E27</f>
        <v>0</v>
      </c>
      <c r="I62" s="10">
        <f>SUBCONTRACTS!F27</f>
        <v>0</v>
      </c>
      <c r="J62" s="8"/>
      <c r="K62" s="11">
        <f t="shared" si="17"/>
        <v>0</v>
      </c>
    </row>
    <row r="63" spans="1:11" x14ac:dyDescent="0.2">
      <c r="A63" s="146" t="str">
        <f>IF(ISBLANK(SUBCONTRACTS!B31),"",SUBCONTRACTS!B31)</f>
        <v/>
      </c>
      <c r="B63" s="151"/>
      <c r="C63" s="151"/>
      <c r="D63" s="147"/>
      <c r="E63" s="10">
        <f>SUBCONTRACTS!B36</f>
        <v>0</v>
      </c>
      <c r="F63" s="10">
        <f>SUBCONTRACTS!C36</f>
        <v>0</v>
      </c>
      <c r="G63" s="10">
        <f>SUBCONTRACTS!D36</f>
        <v>0</v>
      </c>
      <c r="H63" s="10">
        <f>SUBCONTRACTS!E36</f>
        <v>0</v>
      </c>
      <c r="I63" s="10">
        <f>SUBCONTRACTS!F36</f>
        <v>0</v>
      </c>
      <c r="J63" s="8"/>
      <c r="K63" s="11">
        <f t="shared" si="17"/>
        <v>0</v>
      </c>
    </row>
    <row r="64" spans="1:11" x14ac:dyDescent="0.2">
      <c r="A64" s="146" t="str">
        <f>IF(ISBLANK(SUBCONTRACTS!B40),"",SUBCONTRACTS!B40)</f>
        <v/>
      </c>
      <c r="B64" s="151"/>
      <c r="C64" s="151"/>
      <c r="D64" s="147"/>
      <c r="E64" s="10">
        <f>SUBCONTRACTS!B45</f>
        <v>0</v>
      </c>
      <c r="F64" s="10">
        <f>SUBCONTRACTS!C45</f>
        <v>0</v>
      </c>
      <c r="G64" s="10">
        <f>SUBCONTRACTS!D45</f>
        <v>0</v>
      </c>
      <c r="H64" s="10">
        <f>SUBCONTRACTS!E45</f>
        <v>0</v>
      </c>
      <c r="I64" s="10">
        <f>SUBCONTRACTS!F45</f>
        <v>0</v>
      </c>
      <c r="J64" s="8"/>
      <c r="K64" s="11">
        <f t="shared" si="17"/>
        <v>0</v>
      </c>
    </row>
    <row r="65" spans="1:16" s="5" customFormat="1" x14ac:dyDescent="0.2">
      <c r="A65" s="155" t="s">
        <v>13</v>
      </c>
      <c r="B65" s="156"/>
      <c r="C65" s="156"/>
      <c r="D65" s="157"/>
      <c r="E65" s="13">
        <f>ROUND(SUM(E60:E64),0)</f>
        <v>0</v>
      </c>
      <c r="F65" s="13">
        <f>ROUND(SUM(F60:F64),0)</f>
        <v>0</v>
      </c>
      <c r="G65" s="13">
        <f>ROUND(SUM(G60:G64),0)</f>
        <v>0</v>
      </c>
      <c r="H65" s="13">
        <f>ROUND(SUM(H60:H64),0)</f>
        <v>0</v>
      </c>
      <c r="I65" s="13">
        <f>ROUND(SUM(I60:I64),0)</f>
        <v>0</v>
      </c>
      <c r="J65" s="13"/>
      <c r="K65" s="13">
        <f t="shared" si="17"/>
        <v>0</v>
      </c>
    </row>
    <row r="66" spans="1:16" s="4" customFormat="1" x14ac:dyDescent="0.2">
      <c r="A66" s="40" t="s">
        <v>22</v>
      </c>
      <c r="B66" s="7"/>
      <c r="C66" s="7"/>
      <c r="D66" s="7"/>
      <c r="E66" s="7" t="s">
        <v>4</v>
      </c>
      <c r="F66" s="7" t="s">
        <v>5</v>
      </c>
      <c r="G66" s="7" t="s">
        <v>6</v>
      </c>
      <c r="H66" s="7" t="s">
        <v>7</v>
      </c>
      <c r="I66" s="7" t="s">
        <v>8</v>
      </c>
      <c r="J66" s="7"/>
      <c r="K66" s="7" t="s">
        <v>10</v>
      </c>
    </row>
    <row r="67" spans="1:16" x14ac:dyDescent="0.2">
      <c r="A67" s="148"/>
      <c r="B67" s="149"/>
      <c r="C67" s="149"/>
      <c r="D67" s="150"/>
      <c r="E67" s="92">
        <v>0</v>
      </c>
      <c r="F67" s="92">
        <v>0</v>
      </c>
      <c r="G67" s="92">
        <v>0</v>
      </c>
      <c r="H67" s="92">
        <v>0</v>
      </c>
      <c r="I67" s="92">
        <v>0</v>
      </c>
      <c r="J67" s="8"/>
      <c r="K67" s="11">
        <f>ROUND(SUM(E67:I67),0)</f>
        <v>0</v>
      </c>
    </row>
    <row r="68" spans="1:16" x14ac:dyDescent="0.2">
      <c r="A68" s="148"/>
      <c r="B68" s="149"/>
      <c r="C68" s="149"/>
      <c r="D68" s="150"/>
      <c r="E68" s="92"/>
      <c r="F68" s="92"/>
      <c r="G68" s="92"/>
      <c r="H68" s="92"/>
      <c r="I68" s="92"/>
      <c r="J68" s="8"/>
      <c r="K68" s="11">
        <f>ROUND(SUM(E68:I68),0)</f>
        <v>0</v>
      </c>
    </row>
    <row r="69" spans="1:16" x14ac:dyDescent="0.2">
      <c r="A69" s="148"/>
      <c r="B69" s="149"/>
      <c r="C69" s="149"/>
      <c r="D69" s="150"/>
      <c r="E69" s="92"/>
      <c r="F69" s="92"/>
      <c r="G69" s="92"/>
      <c r="H69" s="92"/>
      <c r="I69" s="92"/>
      <c r="J69" s="8"/>
      <c r="K69" s="11">
        <f>ROUND(SUM(E69:I69),0)</f>
        <v>0</v>
      </c>
    </row>
    <row r="70" spans="1:16" x14ac:dyDescent="0.2">
      <c r="A70" s="148"/>
      <c r="B70" s="149"/>
      <c r="C70" s="149"/>
      <c r="D70" s="150"/>
      <c r="E70" s="92"/>
      <c r="F70" s="92"/>
      <c r="G70" s="92"/>
      <c r="H70" s="92"/>
      <c r="I70" s="92"/>
      <c r="J70" s="8"/>
      <c r="K70" s="11">
        <f>ROUND(SUM(E70:I70),0)</f>
        <v>0</v>
      </c>
    </row>
    <row r="71" spans="1:16" s="5" customFormat="1" x14ac:dyDescent="0.2">
      <c r="A71" s="155" t="s">
        <v>13</v>
      </c>
      <c r="B71" s="156"/>
      <c r="C71" s="156"/>
      <c r="D71" s="157"/>
      <c r="E71" s="13">
        <f>ROUND(SUM(E67:E70),0)</f>
        <v>0</v>
      </c>
      <c r="F71" s="13">
        <f>ROUND(SUM(F67:F70),0)</f>
        <v>0</v>
      </c>
      <c r="G71" s="13">
        <f>ROUND(SUM(G67:G70),0)</f>
        <v>0</v>
      </c>
      <c r="H71" s="13">
        <f>ROUND(SUM(H67:H70),0)</f>
        <v>0</v>
      </c>
      <c r="I71" s="13">
        <f>ROUND(SUM(I67:I70),0)</f>
        <v>0</v>
      </c>
      <c r="J71" s="13"/>
      <c r="K71" s="13">
        <f>ROUND(SUM(E71:I71),0)</f>
        <v>0</v>
      </c>
    </row>
    <row r="72" spans="1:16" s="4" customFormat="1" x14ac:dyDescent="0.2">
      <c r="A72" s="40" t="s">
        <v>23</v>
      </c>
      <c r="B72" s="7"/>
      <c r="C72" s="7"/>
      <c r="D72" s="7"/>
      <c r="E72" s="7" t="s">
        <v>4</v>
      </c>
      <c r="F72" s="7" t="s">
        <v>5</v>
      </c>
      <c r="G72" s="7" t="s">
        <v>6</v>
      </c>
      <c r="H72" s="7" t="s">
        <v>7</v>
      </c>
      <c r="I72" s="7" t="s">
        <v>8</v>
      </c>
      <c r="J72" s="7"/>
      <c r="K72" s="7" t="s">
        <v>10</v>
      </c>
    </row>
    <row r="73" spans="1:16" ht="12.75" x14ac:dyDescent="0.2">
      <c r="A73" s="168">
        <f>COUNTIF(C23:C32,"GRA")</f>
        <v>0</v>
      </c>
      <c r="B73" s="168"/>
      <c r="C73" s="168"/>
      <c r="D73" s="169"/>
      <c r="E73" s="10">
        <f>ROUND(IF(A73&gt;0,A73*O39,0),0)</f>
        <v>0</v>
      </c>
      <c r="F73" s="10">
        <f>ROUND(IF(E73="","",E73*(1+B7)),0)</f>
        <v>0</v>
      </c>
      <c r="G73" s="10">
        <f>ROUND(IF(F73="","",F73*(1+B7)),0)</f>
        <v>0</v>
      </c>
      <c r="H73" s="10">
        <f>ROUND(IF(G73="","",G73*(1+B7)),0)</f>
        <v>0</v>
      </c>
      <c r="I73" s="10">
        <f>ROUND(IF(H73="","",H73*(1+B7)),0)</f>
        <v>0</v>
      </c>
      <c r="J73" s="8"/>
      <c r="K73" s="11">
        <f>ROUND(SUM(E73:I73),0)</f>
        <v>0</v>
      </c>
    </row>
    <row r="74" spans="1:16" s="5" customFormat="1" x14ac:dyDescent="0.2">
      <c r="A74" s="155" t="s">
        <v>13</v>
      </c>
      <c r="B74" s="156"/>
      <c r="C74" s="156"/>
      <c r="D74" s="157"/>
      <c r="E74" s="13">
        <f>ROUND(SUM(E73),0)</f>
        <v>0</v>
      </c>
      <c r="F74" s="13">
        <f>ROUND(SUM(F73),0)</f>
        <v>0</v>
      </c>
      <c r="G74" s="13">
        <f>ROUND(SUM(G73),0)</f>
        <v>0</v>
      </c>
      <c r="H74" s="13">
        <f>ROUND(SUM(H73),0)</f>
        <v>0</v>
      </c>
      <c r="I74" s="13">
        <f>ROUND(SUM(I73),0)</f>
        <v>0</v>
      </c>
      <c r="J74" s="13"/>
      <c r="K74" s="13">
        <f>ROUND(SUM(E74:I74),0)</f>
        <v>0</v>
      </c>
    </row>
    <row r="75" spans="1:16" s="4" customFormat="1" x14ac:dyDescent="0.2">
      <c r="A75" s="40" t="s">
        <v>24</v>
      </c>
      <c r="B75" s="7"/>
      <c r="C75" s="7"/>
      <c r="D75" s="7"/>
      <c r="E75" s="7" t="s">
        <v>4</v>
      </c>
      <c r="F75" s="7" t="s">
        <v>5</v>
      </c>
      <c r="G75" s="7" t="s">
        <v>6</v>
      </c>
      <c r="H75" s="7" t="s">
        <v>7</v>
      </c>
      <c r="I75" s="7" t="s">
        <v>8</v>
      </c>
      <c r="J75" s="7"/>
      <c r="K75" s="7" t="s">
        <v>10</v>
      </c>
    </row>
    <row r="76" spans="1:16" x14ac:dyDescent="0.2">
      <c r="A76" s="148"/>
      <c r="B76" s="149"/>
      <c r="C76" s="149"/>
      <c r="D76" s="150"/>
      <c r="E76" s="92">
        <v>0</v>
      </c>
      <c r="F76" s="92">
        <v>0</v>
      </c>
      <c r="G76" s="92">
        <v>0</v>
      </c>
      <c r="H76" s="92">
        <v>0</v>
      </c>
      <c r="I76" s="92">
        <v>0</v>
      </c>
      <c r="J76" s="8"/>
      <c r="K76" s="11">
        <f>ROUND(SUM(E76:I76),0)</f>
        <v>0</v>
      </c>
    </row>
    <row r="77" spans="1:16" x14ac:dyDescent="0.2">
      <c r="A77" s="148"/>
      <c r="B77" s="149"/>
      <c r="C77" s="149"/>
      <c r="D77" s="150"/>
      <c r="E77" s="92">
        <v>0</v>
      </c>
      <c r="F77" s="92">
        <v>0</v>
      </c>
      <c r="G77" s="92">
        <v>0</v>
      </c>
      <c r="H77" s="92">
        <v>0</v>
      </c>
      <c r="I77" s="92">
        <v>0</v>
      </c>
      <c r="J77" s="8"/>
      <c r="K77" s="11">
        <f>ROUND(SUM(E77:I77),0)</f>
        <v>0</v>
      </c>
    </row>
    <row r="78" spans="1:16" x14ac:dyDescent="0.2">
      <c r="A78" s="148"/>
      <c r="B78" s="149"/>
      <c r="C78" s="149"/>
      <c r="D78" s="150"/>
      <c r="E78" s="92"/>
      <c r="F78" s="92"/>
      <c r="G78" s="92"/>
      <c r="H78" s="92"/>
      <c r="I78" s="92"/>
      <c r="J78" s="8"/>
      <c r="K78" s="11">
        <f>ROUND(SUM(E78:I78),0)</f>
        <v>0</v>
      </c>
      <c r="O78" s="127"/>
      <c r="P78" s="128"/>
    </row>
    <row r="79" spans="1:16" x14ac:dyDescent="0.2">
      <c r="A79" s="148"/>
      <c r="B79" s="149"/>
      <c r="C79" s="149"/>
      <c r="D79" s="150"/>
      <c r="E79" s="92"/>
      <c r="F79" s="92"/>
      <c r="G79" s="92"/>
      <c r="H79" s="92"/>
      <c r="I79" s="92"/>
      <c r="J79" s="8"/>
      <c r="K79" s="11">
        <f>ROUND(SUM(E79:I79),0)</f>
        <v>0</v>
      </c>
      <c r="O79" s="127"/>
      <c r="P79" s="128"/>
    </row>
    <row r="80" spans="1:16" s="5" customFormat="1" x14ac:dyDescent="0.2">
      <c r="A80" s="155" t="s">
        <v>13</v>
      </c>
      <c r="B80" s="156"/>
      <c r="C80" s="156"/>
      <c r="D80" s="157"/>
      <c r="E80" s="13">
        <f>ROUND(SUM(E76:E79),0)</f>
        <v>0</v>
      </c>
      <c r="F80" s="13">
        <f>ROUND(SUM(F76:F79),0)</f>
        <v>0</v>
      </c>
      <c r="G80" s="13">
        <f>ROUND(SUM(G76:G79),0)</f>
        <v>0</v>
      </c>
      <c r="H80" s="13">
        <f>ROUND(SUM(H76:H79),0)</f>
        <v>0</v>
      </c>
      <c r="I80" s="13">
        <f>ROUND(SUM(I76:I79),0)</f>
        <v>0</v>
      </c>
      <c r="J80" s="13"/>
      <c r="K80" s="13">
        <f>ROUND(SUM(E80:I80),0)</f>
        <v>0</v>
      </c>
      <c r="O80" s="127"/>
      <c r="P80" s="128"/>
    </row>
    <row r="81" spans="1:16" s="4" customFormat="1" x14ac:dyDescent="0.2">
      <c r="A81" s="40" t="s">
        <v>25</v>
      </c>
      <c r="B81" s="7"/>
      <c r="C81" s="7"/>
      <c r="D81" s="7"/>
      <c r="E81" s="7" t="s">
        <v>4</v>
      </c>
      <c r="F81" s="7" t="s">
        <v>5</v>
      </c>
      <c r="G81" s="7" t="s">
        <v>6</v>
      </c>
      <c r="H81" s="7" t="s">
        <v>7</v>
      </c>
      <c r="I81" s="7" t="s">
        <v>8</v>
      </c>
      <c r="J81" s="7"/>
      <c r="K81" s="7" t="s">
        <v>10</v>
      </c>
      <c r="O81" s="127"/>
      <c r="P81" s="128"/>
    </row>
    <row r="82" spans="1:16" x14ac:dyDescent="0.2">
      <c r="A82" s="152" t="s">
        <v>3</v>
      </c>
      <c r="B82" s="153"/>
      <c r="C82" s="153"/>
      <c r="D82" s="154"/>
      <c r="E82" s="10">
        <f>E21</f>
        <v>0</v>
      </c>
      <c r="F82" s="10">
        <f>F21</f>
        <v>0</v>
      </c>
      <c r="G82" s="10">
        <f>G21</f>
        <v>0</v>
      </c>
      <c r="H82" s="10">
        <f>H21</f>
        <v>0</v>
      </c>
      <c r="I82" s="10">
        <f>I21</f>
        <v>0</v>
      </c>
      <c r="J82" s="8"/>
      <c r="K82" s="11">
        <f t="shared" ref="K82:K93" si="18">ROUND(SUM(E82:I82),0)</f>
        <v>0</v>
      </c>
      <c r="N82" s="41"/>
      <c r="O82" s="127"/>
      <c r="P82" s="128"/>
    </row>
    <row r="83" spans="1:16" x14ac:dyDescent="0.2">
      <c r="A83" s="152" t="s">
        <v>16</v>
      </c>
      <c r="B83" s="153"/>
      <c r="C83" s="153"/>
      <c r="D83" s="154"/>
      <c r="E83" s="10">
        <f>E33</f>
        <v>0</v>
      </c>
      <c r="F83" s="10">
        <f>F33</f>
        <v>0</v>
      </c>
      <c r="G83" s="10">
        <f>G33</f>
        <v>0</v>
      </c>
      <c r="H83" s="10">
        <f>H33</f>
        <v>0</v>
      </c>
      <c r="I83" s="10">
        <f>I33</f>
        <v>0</v>
      </c>
      <c r="J83" s="8"/>
      <c r="K83" s="11">
        <f t="shared" si="18"/>
        <v>0</v>
      </c>
      <c r="N83" s="111"/>
      <c r="O83" s="127"/>
      <c r="P83" s="128"/>
    </row>
    <row r="84" spans="1:16" x14ac:dyDescent="0.2">
      <c r="A84" s="152" t="s">
        <v>18</v>
      </c>
      <c r="B84" s="153"/>
      <c r="C84" s="153"/>
      <c r="D84" s="154"/>
      <c r="E84" s="10">
        <f>E41</f>
        <v>0</v>
      </c>
      <c r="F84" s="10">
        <f>F41</f>
        <v>0</v>
      </c>
      <c r="G84" s="10">
        <f>G41</f>
        <v>0</v>
      </c>
      <c r="H84" s="10">
        <f>H41</f>
        <v>0</v>
      </c>
      <c r="I84" s="10">
        <f>I41</f>
        <v>0</v>
      </c>
      <c r="J84" s="8"/>
      <c r="K84" s="11">
        <f t="shared" si="18"/>
        <v>0</v>
      </c>
      <c r="O84" s="127"/>
      <c r="P84" s="128"/>
    </row>
    <row r="85" spans="1:16" x14ac:dyDescent="0.2">
      <c r="A85" s="152" t="s">
        <v>19</v>
      </c>
      <c r="B85" s="153"/>
      <c r="C85" s="153"/>
      <c r="D85" s="154"/>
      <c r="E85" s="10">
        <f>E44</f>
        <v>250000</v>
      </c>
      <c r="F85" s="10">
        <f>F44</f>
        <v>250000</v>
      </c>
      <c r="G85" s="10">
        <f>G44</f>
        <v>250000</v>
      </c>
      <c r="H85" s="10">
        <f>H44</f>
        <v>250000</v>
      </c>
      <c r="I85" s="10">
        <f>I44</f>
        <v>250000</v>
      </c>
      <c r="J85" s="8"/>
      <c r="K85" s="11">
        <f t="shared" si="18"/>
        <v>1250000</v>
      </c>
      <c r="O85" s="127"/>
      <c r="P85" s="128"/>
    </row>
    <row r="86" spans="1:16" x14ac:dyDescent="0.2">
      <c r="A86" s="152" t="s">
        <v>21</v>
      </c>
      <c r="B86" s="153"/>
      <c r="C86" s="153"/>
      <c r="D86" s="154"/>
      <c r="E86" s="10">
        <f>E50</f>
        <v>0</v>
      </c>
      <c r="F86" s="10">
        <f>F50</f>
        <v>0</v>
      </c>
      <c r="G86" s="10">
        <f>G50</f>
        <v>0</v>
      </c>
      <c r="H86" s="10">
        <f>H50</f>
        <v>0</v>
      </c>
      <c r="I86" s="10">
        <f>I50</f>
        <v>0</v>
      </c>
      <c r="J86" s="8"/>
      <c r="K86" s="11">
        <f t="shared" si="18"/>
        <v>0</v>
      </c>
      <c r="O86" s="127"/>
      <c r="P86" s="128"/>
    </row>
    <row r="87" spans="1:16" x14ac:dyDescent="0.2">
      <c r="A87" s="152" t="s">
        <v>58</v>
      </c>
      <c r="B87" s="153"/>
      <c r="C87" s="153"/>
      <c r="D87" s="154"/>
      <c r="E87" s="10">
        <f>E54</f>
        <v>0</v>
      </c>
      <c r="F87" s="10">
        <f>F54</f>
        <v>0</v>
      </c>
      <c r="G87" s="10">
        <f>G54</f>
        <v>0</v>
      </c>
      <c r="H87" s="10">
        <f>H54</f>
        <v>0</v>
      </c>
      <c r="I87" s="10">
        <f>I54</f>
        <v>0</v>
      </c>
      <c r="J87" s="8"/>
      <c r="K87" s="11">
        <f t="shared" si="18"/>
        <v>0</v>
      </c>
      <c r="O87" s="127"/>
      <c r="P87" s="128"/>
    </row>
    <row r="88" spans="1:16" x14ac:dyDescent="0.2">
      <c r="A88" s="152" t="s">
        <v>59</v>
      </c>
      <c r="B88" s="153"/>
      <c r="C88" s="153"/>
      <c r="D88" s="154"/>
      <c r="E88" s="10">
        <f>E58</f>
        <v>0</v>
      </c>
      <c r="F88" s="10">
        <f>F58</f>
        <v>0</v>
      </c>
      <c r="G88" s="10">
        <f>G58</f>
        <v>0</v>
      </c>
      <c r="H88" s="10">
        <f>H58</f>
        <v>0</v>
      </c>
      <c r="I88" s="10">
        <f>I58</f>
        <v>0</v>
      </c>
      <c r="J88" s="8"/>
      <c r="K88" s="11">
        <f t="shared" si="18"/>
        <v>0</v>
      </c>
      <c r="O88" s="127"/>
      <c r="P88" s="128"/>
    </row>
    <row r="89" spans="1:16" x14ac:dyDescent="0.2">
      <c r="A89" s="152" t="s">
        <v>20</v>
      </c>
      <c r="B89" s="153"/>
      <c r="C89" s="153"/>
      <c r="D89" s="154"/>
      <c r="E89" s="10">
        <f>E65</f>
        <v>0</v>
      </c>
      <c r="F89" s="10">
        <f>F65</f>
        <v>0</v>
      </c>
      <c r="G89" s="10">
        <f>G65</f>
        <v>0</v>
      </c>
      <c r="H89" s="10">
        <f>H65</f>
        <v>0</v>
      </c>
      <c r="I89" s="10">
        <f>I65</f>
        <v>0</v>
      </c>
      <c r="J89" s="8"/>
      <c r="K89" s="11">
        <f t="shared" si="18"/>
        <v>0</v>
      </c>
      <c r="O89" s="127"/>
      <c r="P89" s="128"/>
    </row>
    <row r="90" spans="1:16" x14ac:dyDescent="0.2">
      <c r="A90" s="152" t="s">
        <v>22</v>
      </c>
      <c r="B90" s="153"/>
      <c r="C90" s="153"/>
      <c r="D90" s="154"/>
      <c r="E90" s="10">
        <f>E71</f>
        <v>0</v>
      </c>
      <c r="F90" s="10">
        <f>F71</f>
        <v>0</v>
      </c>
      <c r="G90" s="10">
        <f>G71</f>
        <v>0</v>
      </c>
      <c r="H90" s="10">
        <f>H71</f>
        <v>0</v>
      </c>
      <c r="I90" s="10">
        <f>I71</f>
        <v>0</v>
      </c>
      <c r="J90" s="8"/>
      <c r="K90" s="11">
        <f t="shared" si="18"/>
        <v>0</v>
      </c>
    </row>
    <row r="91" spans="1:16" x14ac:dyDescent="0.2">
      <c r="A91" s="152" t="s">
        <v>23</v>
      </c>
      <c r="B91" s="153"/>
      <c r="C91" s="153"/>
      <c r="D91" s="154"/>
      <c r="E91" s="10">
        <f>E74</f>
        <v>0</v>
      </c>
      <c r="F91" s="10">
        <f>F74</f>
        <v>0</v>
      </c>
      <c r="G91" s="10">
        <f>G74</f>
        <v>0</v>
      </c>
      <c r="H91" s="10">
        <f>H74</f>
        <v>0</v>
      </c>
      <c r="I91" s="10">
        <f>I74</f>
        <v>0</v>
      </c>
      <c r="J91" s="8"/>
      <c r="K91" s="11">
        <f t="shared" si="18"/>
        <v>0</v>
      </c>
    </row>
    <row r="92" spans="1:16" x14ac:dyDescent="0.2">
      <c r="A92" s="152" t="s">
        <v>24</v>
      </c>
      <c r="B92" s="153"/>
      <c r="C92" s="153"/>
      <c r="D92" s="154"/>
      <c r="E92" s="10">
        <f>E80</f>
        <v>0</v>
      </c>
      <c r="F92" s="10">
        <f>F80</f>
        <v>0</v>
      </c>
      <c r="G92" s="10">
        <f>G80</f>
        <v>0</v>
      </c>
      <c r="H92" s="10">
        <f>H80</f>
        <v>0</v>
      </c>
      <c r="I92" s="10">
        <f>I80</f>
        <v>0</v>
      </c>
      <c r="J92" s="8"/>
      <c r="K92" s="11">
        <f t="shared" si="18"/>
        <v>0</v>
      </c>
    </row>
    <row r="93" spans="1:16" s="5" customFormat="1" x14ac:dyDescent="0.2">
      <c r="A93" s="155" t="s">
        <v>75</v>
      </c>
      <c r="B93" s="156"/>
      <c r="C93" s="156"/>
      <c r="D93" s="157"/>
      <c r="E93" s="13">
        <f>ROUND(SUM(E82:E92),0)</f>
        <v>250000</v>
      </c>
      <c r="F93" s="13">
        <f>ROUND(SUM(F82:F92),0)</f>
        <v>250000</v>
      </c>
      <c r="G93" s="13">
        <f>ROUND(SUM(G82:G92),0)</f>
        <v>250000</v>
      </c>
      <c r="H93" s="13">
        <f>ROUND(SUM(H82:H92),0)</f>
        <v>250000</v>
      </c>
      <c r="I93" s="13">
        <f>ROUND(SUM(I82:I92),0)</f>
        <v>250000</v>
      </c>
      <c r="J93" s="13"/>
      <c r="K93" s="13">
        <f t="shared" si="18"/>
        <v>1250000</v>
      </c>
      <c r="O93" s="144" t="s">
        <v>190</v>
      </c>
      <c r="P93" s="144"/>
    </row>
    <row r="94" spans="1:16" x14ac:dyDescent="0.2">
      <c r="O94" s="129">
        <v>44652</v>
      </c>
      <c r="P94" s="130">
        <f>(0.25*0.56)+(0.75*0.565)</f>
        <v>0.56374999999999997</v>
      </c>
    </row>
    <row r="95" spans="1:16" s="5" customFormat="1" x14ac:dyDescent="0.2">
      <c r="A95" s="155" t="s">
        <v>29</v>
      </c>
      <c r="B95" s="156"/>
      <c r="C95" s="156"/>
      <c r="D95" s="157"/>
      <c r="E95" s="13">
        <f>ROUND(SUM(E82+E83+E85+E90+E92+SUBCONTRACTS!B48),0)</f>
        <v>250000</v>
      </c>
      <c r="F95" s="13">
        <f>ROUND(SUM(F82+F83+F85+F90+F92+SUBCONTRACTS!C48),0)</f>
        <v>250000</v>
      </c>
      <c r="G95" s="13">
        <f>ROUND(SUM(G82+G83+G85+G90+G92+SUBCONTRACTS!D48),0)</f>
        <v>250000</v>
      </c>
      <c r="H95" s="13">
        <f>ROUND(SUM(H82+H83+H85+H90+H92+SUBCONTRACTS!E48),0)</f>
        <v>250000</v>
      </c>
      <c r="I95" s="13">
        <f>ROUND(SUM(I82+I83+I85+I90+I92+SUBCONTRACTS!F48),0)</f>
        <v>250000</v>
      </c>
      <c r="J95" s="13"/>
      <c r="K95" s="13">
        <f>ROUND(SUM(E95:I95),0)</f>
        <v>1250000</v>
      </c>
      <c r="O95" s="129">
        <v>44682</v>
      </c>
      <c r="P95" s="130">
        <f>((2/12)*0.56)+((10/12)*0.565)</f>
        <v>0.56416666666666671</v>
      </c>
    </row>
    <row r="96" spans="1:16" ht="12.75" customHeight="1" x14ac:dyDescent="0.2">
      <c r="A96" s="171" t="s">
        <v>38</v>
      </c>
      <c r="B96" s="171"/>
      <c r="C96" s="171"/>
      <c r="D96" s="171"/>
      <c r="E96" s="61">
        <f>IF(E8=O94,P94,IF(E8=O95,P95,IF(E8=O96,P96,IF(E8=O97,P97,0.56))))</f>
        <v>0.56000000000000005</v>
      </c>
      <c r="F96" s="61">
        <f>IF(F8=O94,P94,IF(F8=O95,P95,IF(F8=O96,P96,IF(F8=O97,P97,0.56))))</f>
        <v>0.56000000000000005</v>
      </c>
      <c r="G96" s="61">
        <f>IF(G8=O94,P94,IF(G8=O95,P95,IF(G8=O96,P96,IF(G8=O97,P97,0.56))))</f>
        <v>0.56374999999999997</v>
      </c>
      <c r="H96" s="61">
        <f>IF(H8=O94,P94,IF(H8=O95,P95,IF(H8=O96,P96,IF(H8=O97,P97,0.565))))</f>
        <v>0.56499999999999995</v>
      </c>
      <c r="I96" s="61">
        <f>IF(I8=94,P94,IF(I8=O95,P95,IF(I8=O96,P96,IF(I8=O97,P97,0.565))))</f>
        <v>0.56499999999999995</v>
      </c>
      <c r="O96" s="129">
        <v>44713</v>
      </c>
      <c r="P96" s="130">
        <f>((1/12)*0.56)+((11/12)*0.565)</f>
        <v>0.56458333333333321</v>
      </c>
    </row>
    <row r="97" spans="1:16" s="5" customFormat="1" x14ac:dyDescent="0.2">
      <c r="A97" s="155" t="s">
        <v>76</v>
      </c>
      <c r="B97" s="156"/>
      <c r="C97" s="156"/>
      <c r="D97" s="157"/>
      <c r="E97" s="13">
        <f>ROUND(E95*E96,0)</f>
        <v>140000</v>
      </c>
      <c r="F97" s="13">
        <f>ROUND(F95*F96,0)</f>
        <v>140000</v>
      </c>
      <c r="G97" s="13">
        <f>ROUND(G95*G96,0)</f>
        <v>140938</v>
      </c>
      <c r="H97" s="13">
        <f>ROUND(H95*H96,0)</f>
        <v>141250</v>
      </c>
      <c r="I97" s="13">
        <f>ROUND(I95*I96,0)</f>
        <v>141250</v>
      </c>
      <c r="J97" s="13"/>
      <c r="K97" s="13">
        <f>ROUND(SUM(E97:I97),0)</f>
        <v>703438</v>
      </c>
      <c r="O97" s="129">
        <v>44743</v>
      </c>
      <c r="P97" s="130">
        <v>0.56499999999999995</v>
      </c>
    </row>
    <row r="99" spans="1:16" x14ac:dyDescent="0.2">
      <c r="A99" s="172" t="s">
        <v>39</v>
      </c>
      <c r="B99" s="173"/>
      <c r="C99" s="173"/>
      <c r="D99" s="174"/>
      <c r="E99" s="20">
        <f>ROUND(SUM(E93,E97),0)</f>
        <v>390000</v>
      </c>
      <c r="F99" s="20">
        <f>ROUND(SUM(F93,F97),0)</f>
        <v>390000</v>
      </c>
      <c r="G99" s="20">
        <f>ROUND(SUM(G93,G97),0)</f>
        <v>390938</v>
      </c>
      <c r="H99" s="20">
        <f>ROUND(SUM(H93,H97),0)</f>
        <v>391250</v>
      </c>
      <c r="I99" s="20">
        <f>ROUND(SUM(I93,I97),0)</f>
        <v>391250</v>
      </c>
      <c r="J99" s="20"/>
      <c r="K99" s="20">
        <f>ROUND(SUM(E99,F99,G99,H99,I99),0)</f>
        <v>1953438</v>
      </c>
    </row>
    <row r="101" spans="1:16" ht="12.75" customHeight="1" x14ac:dyDescent="0.2">
      <c r="A101" s="167" t="s">
        <v>60</v>
      </c>
      <c r="B101" s="167"/>
      <c r="C101" s="167"/>
      <c r="D101" s="167"/>
      <c r="E101" s="97">
        <v>250000</v>
      </c>
      <c r="F101" s="97">
        <v>250000</v>
      </c>
      <c r="G101" s="97">
        <v>250000</v>
      </c>
      <c r="H101" s="97">
        <v>250000</v>
      </c>
      <c r="I101" s="97">
        <v>250000</v>
      </c>
      <c r="J101" s="8"/>
      <c r="K101" s="59">
        <f>SUM(E101:I101)</f>
        <v>1250000</v>
      </c>
    </row>
    <row r="103" spans="1:16" x14ac:dyDescent="0.2">
      <c r="A103" s="71" t="s">
        <v>101</v>
      </c>
      <c r="B103" s="71"/>
      <c r="C103" s="71"/>
      <c r="D103" s="71"/>
      <c r="E103" s="71"/>
      <c r="F103" s="71"/>
      <c r="G103" s="71"/>
      <c r="H103" s="71"/>
      <c r="I103" s="71"/>
      <c r="J103" s="71"/>
      <c r="K103" s="71"/>
    </row>
    <row r="104" spans="1:16" x14ac:dyDescent="0.2">
      <c r="A104" s="170"/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</row>
    <row r="106" spans="1:16" x14ac:dyDescent="0.2">
      <c r="F106" s="113"/>
      <c r="G106" s="111"/>
    </row>
    <row r="108" spans="1:16" x14ac:dyDescent="0.2">
      <c r="E108" s="112"/>
    </row>
    <row r="109" spans="1:16" x14ac:dyDescent="0.2">
      <c r="E109" s="112"/>
    </row>
  </sheetData>
  <mergeCells count="76">
    <mergeCell ref="A89:D89"/>
    <mergeCell ref="A104:K104"/>
    <mergeCell ref="A90:D90"/>
    <mergeCell ref="A91:D91"/>
    <mergeCell ref="A92:D92"/>
    <mergeCell ref="A96:D96"/>
    <mergeCell ref="A99:D99"/>
    <mergeCell ref="A97:D97"/>
    <mergeCell ref="A93:D93"/>
    <mergeCell ref="A95:D95"/>
    <mergeCell ref="A77:D77"/>
    <mergeCell ref="A78:D78"/>
    <mergeCell ref="A79:D79"/>
    <mergeCell ref="A82:D82"/>
    <mergeCell ref="A87:D87"/>
    <mergeCell ref="A88:D88"/>
    <mergeCell ref="A80:D80"/>
    <mergeCell ref="A83:D83"/>
    <mergeCell ref="A84:D84"/>
    <mergeCell ref="A85:D85"/>
    <mergeCell ref="A70:D70"/>
    <mergeCell ref="A73:D73"/>
    <mergeCell ref="A71:D71"/>
    <mergeCell ref="A76:D76"/>
    <mergeCell ref="A64:D64"/>
    <mergeCell ref="A67:D67"/>
    <mergeCell ref="A68:D68"/>
    <mergeCell ref="A69:D69"/>
    <mergeCell ref="A74:D74"/>
    <mergeCell ref="A60:D60"/>
    <mergeCell ref="A61:D61"/>
    <mergeCell ref="A62:D62"/>
    <mergeCell ref="A63:D63"/>
    <mergeCell ref="A53:D53"/>
    <mergeCell ref="A56:D56"/>
    <mergeCell ref="A57:D57"/>
    <mergeCell ref="A54:D54"/>
    <mergeCell ref="A58:D58"/>
    <mergeCell ref="N8:N9"/>
    <mergeCell ref="A101:D101"/>
    <mergeCell ref="A23:B23"/>
    <mergeCell ref="A24:B24"/>
    <mergeCell ref="A25:B25"/>
    <mergeCell ref="A26:B26"/>
    <mergeCell ref="A27:B27"/>
    <mergeCell ref="A28:B28"/>
    <mergeCell ref="A29:B29"/>
    <mergeCell ref="A30:B30"/>
    <mergeCell ref="A39:D39"/>
    <mergeCell ref="A40:D40"/>
    <mergeCell ref="A21:D21"/>
    <mergeCell ref="A49:D49"/>
    <mergeCell ref="A52:D52"/>
    <mergeCell ref="A46:D46"/>
    <mergeCell ref="A38:D38"/>
    <mergeCell ref="B3:I3"/>
    <mergeCell ref="B4:I4"/>
    <mergeCell ref="B5:I5"/>
    <mergeCell ref="B6:I6"/>
    <mergeCell ref="B7:I7"/>
    <mergeCell ref="O93:P93"/>
    <mergeCell ref="A2:V2"/>
    <mergeCell ref="A31:B31"/>
    <mergeCell ref="A32:B32"/>
    <mergeCell ref="A35:D35"/>
    <mergeCell ref="A43:D43"/>
    <mergeCell ref="A86:D86"/>
    <mergeCell ref="A50:D50"/>
    <mergeCell ref="A65:D65"/>
    <mergeCell ref="A48:D48"/>
    <mergeCell ref="A47:D47"/>
    <mergeCell ref="A44:D44"/>
    <mergeCell ref="A33:D33"/>
    <mergeCell ref="A41:D41"/>
    <mergeCell ref="A36:D36"/>
    <mergeCell ref="A37:D37"/>
  </mergeCells>
  <phoneticPr fontId="2" type="noConversion"/>
  <conditionalFormatting sqref="E43:I43 E85:I85">
    <cfRule type="cellIs" dxfId="11" priority="1" stopIfTrue="1" operator="lessThan">
      <formula>0</formula>
    </cfRule>
  </conditionalFormatting>
  <conditionalFormatting sqref="E52:I53">
    <cfRule type="expression" dxfId="10" priority="2" stopIfTrue="1">
      <formula>AND($K$52&gt;0,$K$52&lt;100000)</formula>
    </cfRule>
  </conditionalFormatting>
  <conditionalFormatting sqref="V11">
    <cfRule type="expression" dxfId="9" priority="14" stopIfTrue="1">
      <formula>AND($U$11&gt;0,ISBLANK($V$11))</formula>
    </cfRule>
  </conditionalFormatting>
  <conditionalFormatting sqref="V12">
    <cfRule type="expression" dxfId="8" priority="15" stopIfTrue="1">
      <formula>AND($U$12&gt;0,ISBLANK($V$12))</formula>
    </cfRule>
  </conditionalFormatting>
  <conditionalFormatting sqref="V13">
    <cfRule type="expression" dxfId="7" priority="16" stopIfTrue="1">
      <formula>AND($U$13&gt;0,ISBLANK($V$13))</formula>
    </cfRule>
  </conditionalFormatting>
  <conditionalFormatting sqref="V14">
    <cfRule type="expression" dxfId="6" priority="17" stopIfTrue="1">
      <formula>AND($U$14&gt;0,ISBLANK($V$14))</formula>
    </cfRule>
  </conditionalFormatting>
  <conditionalFormatting sqref="V15">
    <cfRule type="expression" dxfId="5" priority="18" stopIfTrue="1">
      <formula>AND($U$15&gt;0,ISBLANK($V$15))</formula>
    </cfRule>
  </conditionalFormatting>
  <conditionalFormatting sqref="V16">
    <cfRule type="expression" dxfId="4" priority="19" stopIfTrue="1">
      <formula>AND($U$16&gt;0,ISBLANK($V$16))</formula>
    </cfRule>
  </conditionalFormatting>
  <conditionalFormatting sqref="V17">
    <cfRule type="expression" dxfId="3" priority="20" stopIfTrue="1">
      <formula>AND($U$17&gt;0,ISBLANK($V$17))</formula>
    </cfRule>
  </conditionalFormatting>
  <conditionalFormatting sqref="V18">
    <cfRule type="expression" dxfId="2" priority="21" stopIfTrue="1">
      <formula>AND($U$18&gt;0,ISBLANK($V$18))</formula>
    </cfRule>
  </conditionalFormatting>
  <conditionalFormatting sqref="V19">
    <cfRule type="expression" dxfId="1" priority="22" stopIfTrue="1">
      <formula>AND($U$19&gt;0,ISBLANK($V$19))</formula>
    </cfRule>
  </conditionalFormatting>
  <conditionalFormatting sqref="V20">
    <cfRule type="expression" dxfId="0" priority="23" stopIfTrue="1">
      <formula>AND($U$20&gt;0,ISBLANK($V$20))</formula>
    </cfRule>
  </conditionalFormatting>
  <dataValidations count="90">
    <dataValidation type="textLength" errorStyle="warning" operator="lessThan" allowBlank="1" showErrorMessage="1" errorTitle="Project title" error="The NIH limits project titles to200 characters and the title you typed exceeds this number." promptTitle="Project title" prompt="Fill in the title as it will be submitted to the NIH NO LONGER THAN 81 CHARACTERS (e.g., Impact of TB on HIV-infected patients)." sqref="B4:I4">
      <formula1>200</formula1>
    </dataValidation>
    <dataValidation allowBlank="1" showErrorMessage="1" promptTitle="PI name" prompt="Fill in the Principal Investigator's name (e.g., Mike Burry, MD)." sqref="B3:I3"/>
    <dataValidation allowBlank="1" showErrorMessage="1" promptTitle="Start date" prompt="No entry required - calculated from Start Date in Year 1." sqref="B5:I5"/>
    <dataValidation allowBlank="1" showErrorMessage="1" promptTitle="End date" prompt="No entry required - calculated from End Date in Year 5." sqref="B6:I6"/>
    <dataValidation allowBlank="1" showErrorMessage="1" promptTitle="Salary names" prompt="Fill in the first name and last name of each person on the project (e.g., Mike Burry)" sqref="A11:A20"/>
    <dataValidation allowBlank="1" showErrorMessage="1" promptTitle="Current salary" prompt="Fill in this person's current Institutional Base Salary without decimals, which include supplemental pay, but excludes X-pays, VA salary and clinical salary (e.g., 87,777)." sqref="B11:B20"/>
    <dataValidation allowBlank="1" showErrorMessage="1" promptTitle="Adjusted salary" prompt="The Adj salary is a pro-rated calculation of cost-of-living increases between their current salary and their salary at the time the project will begin." sqref="C11:C20"/>
    <dataValidation allowBlank="1" showErrorMessage="1" promptTitle="Calendar months" prompt="Calculates the calendar months' effort this person will spend on the project, based on their effort %." sqref="L11:L20"/>
    <dataValidation allowBlank="1" showErrorMessage="1" promptTitle="Cost share salaries" prompt="This cell is filled in automatically with the name if the amount in the Current Salary cell is over the current NIH cap." sqref="N11:N20"/>
    <dataValidation allowBlank="1" showErrorMessage="1" promptTitle="Annual salary calculations" prompt="These are calculated automatically based on the Adjusted Salary x the effort %, with a cost-of-living allowance added Years 2 and up." sqref="E11:I20"/>
    <dataValidation allowBlank="1" showInputMessage="1" showErrorMessage="1" promptTitle="Cost share salaries" prompt="Automatically calculates the difference between the actual salary and the current NIH cap, times the effort and including cost-of-living allowances Years 2 and above." sqref="T11:T20"/>
    <dataValidation allowBlank="1" showErrorMessage="1" promptTitle="Cost share speedtype" prompt="Fill in the 5-character speedtype to be used for the cost share funding (usually a letter plus 4 numbers).  CANNOT be a grant speedtype." sqref="V11:V20"/>
    <dataValidation allowBlank="1" showErrorMessage="1" promptTitle="Fringe benefit names" prompt="Automatically filled in based with the names from the corresponding Salaries cells above." sqref="A23:B32"/>
    <dataValidation allowBlank="1" showErrorMessage="1" promptTitle="GRA designation" prompt="If this person is a Graduate Research Assistant, fill in GRA here and the Fringe % will automatically be set to 0 and the first year filled in based on the current GRA fringe amount." sqref="C23:C32"/>
    <dataValidation allowBlank="1" showErrorMessage="1" promptTitle="Fringe %" prompt="Fill in the fringe benefit % for this person (e.g., if you want to enter 28.5%, then fill in 28.5).  Standard is 28.5% but you can override this amount if you want to use the person's actual fringe rate." sqref="D23:D32"/>
    <dataValidation allowBlank="1" showErrorMessage="1" promptTitle="Fringe calculations" prompt="Automatically calculates by multiplying the salary amount in the corresponding cell above by the Fringe % listed to the left.  If a GRA, then fills in the current amount the first year and adds the cost-of-living % increase in Years 2 and above." sqref="E23:I32"/>
    <dataValidation allowBlank="1" showErrorMessage="1" promptTitle="Total salary support" prompt="Each cell is the total amount of salary requested from the sponsor for this person." sqref="K11:K20"/>
    <dataValidation allowBlank="1" showErrorMessage="1" promptTitle="Project sponsor salary support" prompt="Total amount of salary requested from sponsor for all persons on this project." sqref="K21"/>
    <dataValidation allowBlank="1" showErrorMessage="1" promptTitle="Total fringe support" prompt="Each cell is the total amount of fringe support requested from the sponsor for this person." sqref="K23:K32"/>
    <dataValidation allowBlank="1" showErrorMessage="1" promptTitle="Salary subtotals" prompt="Sums the salary amounts requested from the sponsor for each year of the project." sqref="E21:I21"/>
    <dataValidation allowBlank="1" showErrorMessage="1" promptTitle="Annual fringe support" prompt="Sums the fringe benefits amounts requested from the sponsor for each year of the project." sqref="E33:I33"/>
    <dataValidation allowBlank="1" showErrorMessage="1" promptTitle="Project sponsor fringe support" prompt="Total amount of fringe benefits requested from sponsor for all persons on this project." sqref="K33"/>
    <dataValidation allowBlank="1" showErrorMessage="1" promptTitle="Annual cost share salary totals" prompt="Sums the cost share salary amounts for each year of the project." sqref="O21:S21"/>
    <dataValidation allowBlank="1" showErrorMessage="1" promptTitle="Cost share salary proj totals" prompt="Each cell is the total amount of salary required to be cost-shared for this person to cover the difference between their actual salary and the NIH cap." sqref="U11:U20"/>
    <dataValidation allowBlank="1" showErrorMessage="1" promptTitle="Cost share salary project total" prompt="Total amount of cost share for salaries for the entire project." sqref="U21"/>
    <dataValidation allowBlank="1" showErrorMessage="1" promptTitle="Cost share fringe names" prompt="Automatically filled in based with the names from the corresponding Salaries cells above." sqref="N23:N32"/>
    <dataValidation allowBlank="1" showErrorMessage="1" promptTitle="Fringe cost share speedtype" prompt="Automatically filled in based on the speedtype listed on the salary lines as must use the same for salary and fringe." sqref="V23:V32"/>
    <dataValidation allowBlank="1" showErrorMessage="1" promptTitle="Cost share fringe benefits" prompt="Automatically calculates by multiplying the salary amount in the corresponding cell above by the Fringe % listed to the far left.  " sqref="O23:S32"/>
    <dataValidation allowBlank="1" showErrorMessage="1" promptTitle="Cost share fringe proj totals" prompt="Each cell is the total amount of fringe benefits costs required to be cost-shared for this person." sqref="U23:U32"/>
    <dataValidation allowBlank="1" showErrorMessage="1" promptTitle="Annual cost share fringe totals" prompt="Sums the costs fringe benefits amounts for each year of the project." sqref="O33:S33"/>
    <dataValidation allowBlank="1" showErrorMessage="1" promptTitle="Cost share fringe project total" prompt="Total amount of cost share fringe benefits required for the project." sqref="U33"/>
    <dataValidation allowBlank="1" showErrorMessage="1" promptTitle="Project period start date" prompt="Date the project period begins for this year." sqref="F8:I8"/>
    <dataValidation allowBlank="1" showErrorMessage="1" promptTitle="Project period end date" prompt="Date the project period ends for this year." sqref="E9:I9"/>
    <dataValidation allowBlank="1" showErrorMessage="1" promptTitle="Equipment" prompt="Fill in the name of the piece of equipment or equipment system you are requesting from the sponsor." sqref="A36:D40"/>
    <dataValidation type="whole" operator="greaterThanOrEqual" allowBlank="1" showErrorMessage="1" errorTitle="Equipment price" error="Equipment price must be $5,000 or greater.  If the price is less than $5,000, you must enter it in the Other Expenses section." promptTitle="Equipment costs" prompt="Fill in the amount of the equipment on this line, in the year it will be purchased." sqref="E36:E40 F35:I40">
      <formula1>5000</formula1>
    </dataValidation>
    <dataValidation allowBlank="1" showErrorMessage="1" promptTitle="Annual equipment costs" prompt="Sums the equipment costs requested from the sponsor for each year of the project." sqref="E41:I41"/>
    <dataValidation allowBlank="1" showErrorMessage="1" promptTitle="Equipment subtotal" prompt="Each cell is the total amount of equipment funding requested from the sponsor." sqref="K35:K40"/>
    <dataValidation allowBlank="1" showErrorMessage="1" promptTitle="Supplies total" prompt="Each cell is the total amount of supplies funding requested from the sponsor." sqref="K43"/>
    <dataValidation type="whole" operator="greaterThan" allowBlank="1" showErrorMessage="1" promptTitle="Supplies" prompt="Each cell is calculated automatically by taking the Target amount for that year and subtracting all other costs except subcontract indirect costs." sqref="F43:I43">
      <formula1>0</formula1>
    </dataValidation>
    <dataValidation allowBlank="1" showErrorMessage="1" promptTitle="Annual supplies costs" prompt="Sums the supplies costs requested from the sponsor for each year of the project." sqref="E44:I44"/>
    <dataValidation allowBlank="1" showErrorMessage="1" promptTitle="Project sponsor supplies support" prompt="Total amount of supplies costs requested from sponsor for this project." sqref="K44"/>
    <dataValidation allowBlank="1" showErrorMessage="1" promptTitle="Patient care items" prompt="Fill in the type of patient care cost (e.g., CT scans)" sqref="A46:D49"/>
    <dataValidation allowBlank="1" showErrorMessage="1" promptTitle="Patient care costs" prompt="Fill in the amount of patient care costs for this year in this cell." sqref="F46:I49 E47:E49"/>
    <dataValidation allowBlank="1" showErrorMessage="1" promptTitle="Total sponsor patient care costs" prompt="Each cell is the total amount of patient care costs support requested from the sponsor for this type of patient care." sqref="K46:K49"/>
    <dataValidation allowBlank="1" showErrorMessage="1" promptTitle="Annual patient care costs" prompt="Sums the patient care costs requested from the sponsor for each year of the project." sqref="E50:I50"/>
    <dataValidation allowBlank="1" showErrorMessage="1" promptTitle="Project sponsor pt care support" prompt="Total amount of patient care costs requested from sponsor for this project." sqref="K50"/>
    <dataValidation allowBlank="1" showErrorMessage="1" promptTitle="Alteration/renovation items" prompt="Fill in a short description of the renovation or building alteration (e.g., hood installation)." sqref="A53:D53"/>
    <dataValidation allowBlank="1" showErrorMessage="1" promptTitle="Alterations/renovations totals" prompt="Each cell is the total alteration/renovation costs for this line for the entire project." sqref="K52:K53"/>
    <dataValidation allowBlank="1" showErrorMessage="1" promptTitle="Annual alterations/renov costs" prompt="Sums the alteration/renovation costs requested from the sponsor for each year of the project." sqref="E54:I54"/>
    <dataValidation allowBlank="1" showErrorMessage="1" promptTitle="Project sponsor alter/renov" prompt="Total amount of patient care costs requested from sponsor for this project." sqref="K54"/>
    <dataValidation allowBlank="1" showErrorMessage="1" promptTitle="Off site rental items" prompt="Fill in the description the of off-site rental cost (e.g., CTRB lobby rental)" sqref="A56:D57"/>
    <dataValidation allowBlank="1" showErrorMessage="1" promptTitle="Off-site rentals costs" prompt="Fill in the amount of off-site rental costs for this year in this cell." sqref="E56:I57"/>
    <dataValidation allowBlank="1" showErrorMessage="1" promptTitle="Annual off-site rental costs" prompt="Sums the off-site rentals costs requested from the sponsor for each year of the project." sqref="E58:I58"/>
    <dataValidation allowBlank="1" showErrorMessage="1" promptTitle="Off-site rentals totals" prompt="Each cell is the total off-site rentals costs for this line for the entire project." sqref="K56:K57"/>
    <dataValidation allowBlank="1" showErrorMessage="1" promptTitle="Project sponsor off-site rental" prompt="Total amount of off-site rentals costs requested from sponsor for this project." sqref="K58"/>
    <dataValidation allowBlank="1" showErrorMessage="1" promptTitle="Subcontractors" prompt="Automatically fills in the Institution names if the Subcontracts worksheet has been completed." sqref="A60:D64"/>
    <dataValidation allowBlank="1" showErrorMessage="1" promptTitle="Subcontractor costs" prompt="Automatically fills in the mount of the subcontractor total costs (direct and indirect) for this year in this cell.  " sqref="E60:I64"/>
    <dataValidation allowBlank="1" showErrorMessage="1" promptTitle="Annual subonctractor costs" prompt="Sums the subcontractor costs requested from the sponsor for each year of the project." sqref="E65:I65"/>
    <dataValidation allowBlank="1" showErrorMessage="1" promptTitle="Subcontract line total" prompt="Each cell is the total subcontractor costs for this line for the entire project." sqref="K60:K64"/>
    <dataValidation allowBlank="1" showErrorMessage="1" promptTitle="Project sponsor subcontractor" prompt="Total amount of subcontractor costs requested from sponsor for this project" sqref="K65"/>
    <dataValidation allowBlank="1" showErrorMessage="1" promptTitle="Travel items" prompt="Fill in the description the of each travel cost (e.g., PI to 1 national meeting)." sqref="A67:D70"/>
    <dataValidation allowBlank="1" showErrorMessage="1" promptTitle="Travel costs" prompt="Fill in the amount of travel costs for this year in this cell.  " sqref="E67:I70"/>
    <dataValidation allowBlank="1" showErrorMessage="1" promptTitle="Annual travel costs" prompt="Sums the travel costs requested from the sponsor for each year of the project." sqref="E71:I71"/>
    <dataValidation allowBlank="1" showErrorMessage="1" promptTitle="Travel costs" prompt="Each cell is the total travel costs for this line for the entire project." sqref="K67:K70"/>
    <dataValidation allowBlank="1" showErrorMessage="1" promptTitle="Project sponsor travel support" prompt="Total amount of travel costs requested from sponsor for this project_x000a__x000a_" sqref="K71"/>
    <dataValidation allowBlank="1" showErrorMessage="1" promptTitle="Tuition costs" prompt="Automatically calculates the number of individuals requiring tuition support by taking the number of persons classified as GRA in the fringe section and multiplying that # by the amount of tuition listed on the References page." sqref="A73:D73"/>
    <dataValidation allowBlank="1" showErrorMessage="1" promptTitle="Tuition costs" prompt="Automatically fills in the amount of tuition costs for this year in this cell, and adds a cost-of-living increase beginning in Year 2." sqref="E73:I73"/>
    <dataValidation allowBlank="1" showErrorMessage="1" promptTitle="Tuition costs" prompt="Each cell is the total tuition costs for this line for the entire project." sqref="K73"/>
    <dataValidation allowBlank="1" showErrorMessage="1" promptTitle="Annual tuition costs" prompt="Sums the tuition costs requested from the sponsor for each year of the project." sqref="E74:I74"/>
    <dataValidation allowBlank="1" showErrorMessage="1" promptTitle="Project sponsor tuition costs" prompt="Total amount of tuition costs requested from sponsor for this project" sqref="K74"/>
    <dataValidation allowBlank="1" showErrorMessage="1" promptTitle="Other expenses items" prompt="Fill in the description the of this other expense cost (e.g., Publications)" sqref="A76:D79"/>
    <dataValidation allowBlank="1" showErrorMessage="1" promptTitle="Other expenses costs" prompt="Fill in the amount of this other expense cost for this year in this cell.  " sqref="E76:I79"/>
    <dataValidation allowBlank="1" showErrorMessage="1" promptTitle="Other expenses totals" prompt="Each cell is the total other expenses costs for this line for the entire project." sqref="K76:K79"/>
    <dataValidation allowBlank="1" showErrorMessage="1" promptTitle="Annual other expenses costs" prompt="Sums the other expenses costs requested from the sponsor for each year of the project." sqref="E80:I80"/>
    <dataValidation allowBlank="1" showErrorMessage="1" promptTitle="Project sponsor other exp suppor" prompt="Total amount of other expenses costs requested from sponsor for this project." sqref="K80"/>
    <dataValidation allowBlank="1" showErrorMessage="1" promptTitle="Category annual subtotals" prompt="This cell is the same as the subtotal highlighted in grey above for this category." sqref="E82:I92"/>
    <dataValidation type="list" allowBlank="1" showInputMessage="1" showErrorMessage="1" sqref="E101:I101">
      <formula1>"$25000,$50000,$75000,$100000,$125000,$150000,$175000,$200000,$225000,$250000,$500000"</formula1>
    </dataValidation>
    <dataValidation type="list" allowBlank="1" showErrorMessage="1" promptTitle="Cost of living % increase" prompt="Fill in the cost of living allowance that will be applied to each year after Year 1 for salaries.  NOTE: cannot be greater than 3%." sqref="B7:I7">
      <formula1>"0, 0.5%,1.0%,1.5%,2.0%,2.5%,3.0%"</formula1>
    </dataValidation>
    <dataValidation allowBlank="1" showErrorMessage="1" promptTitle="Project period start date" prompt="Fill in the date the project begins." sqref="E8"/>
    <dataValidation allowBlank="1" showErrorMessage="1" promptTitle="Effort %" prompt="Enter the effort percentage this person will work on this project (e.g., if they will work 20%, enter 20).  NOTE: do not use decimals as it's difficult to justify that to sponsors." sqref="D11:D20"/>
    <dataValidation allowBlank="1" showErrorMessage="1" promptTitle="Equipment item" prompt="Fill in the name of the piece of equipment or equipment system you are requesting from the sponsor (e.g., Electron microscope)." sqref="A35:D35"/>
    <dataValidation type="whole" operator="greaterThanOrEqual" allowBlank="1" showErrorMessage="1" errorTitle="Equipment price" error="Equipment price must be $5,000 or greater.  If the price is less than $5,000, you must enter it in the Other Expenses section." promptTitle="Equipment costs" prompt="Fill in the cost of the equipment on this line, in the year it will be purchased.  NOTE: equipment must be greater than $5,000, so if the equipment is less, list it in Other Expenses instead.  You will get an error message if you try to enter less here." sqref="E35">
      <formula1>5000</formula1>
    </dataValidation>
    <dataValidation allowBlank="1" showErrorMessage="1" promptTitle="Supplies items" prompt="You cannot itemize supplies on this spreadsheet." sqref="A43:D43"/>
    <dataValidation type="whole" operator="greaterThan" allowBlank="1" showErrorMessage="1" promptTitle="Supplies costs" prompt="Each cell is calculated automatically by taking the Target amount for that year and subtracting all other costs except subcontract indirect costs." sqref="E43">
      <formula1>0</formula1>
    </dataValidation>
    <dataValidation allowBlank="1" showErrorMessage="1" promptTitle="Patient care costs" prompt="Fill in the costs of patient care costs for this year in this cell." sqref="E46"/>
    <dataValidation allowBlank="1" showErrorMessage="1" promptTitle="Alteration/renovation items" prompt="Fill in a short description of the renovation or building alteration (e.g., Hood installation)." sqref="A52:D52"/>
    <dataValidation allowBlank="1" showErrorMessage="1" promptTitle="Comments" prompt="Enter in comments about the budget, if needed (e.g., Burry will be promoted 8/10 so the base salary listed is the projected amount)." sqref="A104:K104"/>
    <dataValidation allowBlank="1" showErrorMessage="1" promptTitle="Cost share salaries" prompt="Automatically calculates the difference between the actual salary and the current NIH cap, times the effort and including cost-of-living allowances Years 2 and above." sqref="O11:S20"/>
    <dataValidation allowBlank="1" showErrorMessage="1" sqref="K41 K82:K92"/>
    <dataValidation allowBlank="1" showErrorMessage="1" promptTitle="Alteration/renovation costs" prompt="Fill in the amount of alteration or renovation costs for this year in this cell.  NOTE: if total for each line is &lt;$100,000, line will turn red as if less than $100,000 should be in the Other Expenses section." sqref="E52:I53"/>
  </dataValidations>
  <pageMargins left="0.25" right="0.25" top="0.25" bottom="0.2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S56"/>
  <sheetViews>
    <sheetView workbookViewId="0">
      <selection activeCell="B43" sqref="B43:F44"/>
    </sheetView>
  </sheetViews>
  <sheetFormatPr defaultRowHeight="12.75" x14ac:dyDescent="0.2"/>
  <cols>
    <col min="1" max="1" width="36.5703125" style="27" customWidth="1"/>
    <col min="2" max="2" width="9.5703125" style="27" bestFit="1" customWidth="1"/>
    <col min="3" max="3" width="9.7109375" style="27" bestFit="1" customWidth="1"/>
    <col min="4" max="4" width="9.140625" style="27"/>
    <col min="5" max="5" width="9.5703125" style="27" bestFit="1" customWidth="1"/>
    <col min="6" max="6" width="9.140625" style="27"/>
    <col min="7" max="7" width="1.42578125" style="27" customWidth="1"/>
    <col min="8" max="8" width="11.7109375" style="27" customWidth="1"/>
    <col min="9" max="15" width="9.140625" style="27"/>
  </cols>
  <sheetData>
    <row r="2" spans="1:19" s="50" customFormat="1" ht="15.75" x14ac:dyDescent="0.25">
      <c r="A2" s="145" t="s">
        <v>69</v>
      </c>
      <c r="B2" s="145"/>
      <c r="C2" s="145"/>
      <c r="D2" s="145"/>
      <c r="E2" s="145"/>
      <c r="F2" s="145"/>
      <c r="G2" s="145"/>
      <c r="H2" s="14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x14ac:dyDescent="0.2">
      <c r="A3" s="176" t="s">
        <v>70</v>
      </c>
      <c r="B3" s="176"/>
      <c r="C3" s="176"/>
      <c r="D3" s="176"/>
      <c r="E3" s="176"/>
      <c r="F3" s="176"/>
      <c r="G3" s="176"/>
      <c r="H3" s="176"/>
    </row>
    <row r="4" spans="1:19" x14ac:dyDescent="0.2">
      <c r="A4" s="30" t="s">
        <v>28</v>
      </c>
      <c r="B4" s="175"/>
      <c r="C4" s="175"/>
      <c r="D4" s="175"/>
      <c r="E4" s="175"/>
      <c r="F4" s="175"/>
      <c r="G4" s="175"/>
      <c r="H4" s="175"/>
    </row>
    <row r="5" spans="1:19" x14ac:dyDescent="0.2">
      <c r="A5" s="30" t="s">
        <v>160</v>
      </c>
      <c r="B5" s="175"/>
      <c r="C5" s="175"/>
      <c r="D5" s="175"/>
      <c r="E5" s="175"/>
      <c r="F5" s="175"/>
      <c r="G5" s="175"/>
      <c r="H5" s="175"/>
    </row>
    <row r="6" spans="1:19" s="4" customFormat="1" ht="12" x14ac:dyDescent="0.2">
      <c r="A6" s="57"/>
      <c r="B6" s="55" t="s">
        <v>4</v>
      </c>
      <c r="C6" s="55" t="s">
        <v>5</v>
      </c>
      <c r="D6" s="55" t="s">
        <v>6</v>
      </c>
      <c r="E6" s="55" t="s">
        <v>7</v>
      </c>
      <c r="F6" s="55" t="s">
        <v>8</v>
      </c>
      <c r="G6" s="55"/>
      <c r="H6" s="55" t="s">
        <v>10</v>
      </c>
      <c r="I6" s="31"/>
      <c r="J6" s="31"/>
      <c r="K6" s="31"/>
      <c r="L6" s="31"/>
      <c r="M6" s="31"/>
      <c r="N6" s="31"/>
      <c r="O6" s="31"/>
    </row>
    <row r="7" spans="1:19" s="3" customFormat="1" ht="12" x14ac:dyDescent="0.2">
      <c r="A7" s="48" t="s">
        <v>26</v>
      </c>
      <c r="B7" s="94"/>
      <c r="C7" s="94"/>
      <c r="D7" s="94"/>
      <c r="E7" s="94"/>
      <c r="F7" s="94"/>
      <c r="G7" s="33"/>
      <c r="H7" s="34">
        <f>SUM(B7:F7)</f>
        <v>0</v>
      </c>
      <c r="I7" s="27"/>
      <c r="J7" s="27"/>
      <c r="K7" s="27"/>
      <c r="L7" s="27"/>
      <c r="M7" s="27"/>
      <c r="N7" s="27"/>
      <c r="O7" s="27"/>
    </row>
    <row r="8" spans="1:19" s="3" customFormat="1" ht="12" x14ac:dyDescent="0.2">
      <c r="A8" s="48" t="s">
        <v>27</v>
      </c>
      <c r="B8" s="94"/>
      <c r="C8" s="94"/>
      <c r="D8" s="94"/>
      <c r="E8" s="94"/>
      <c r="F8" s="94"/>
      <c r="G8" s="33"/>
      <c r="H8" s="34">
        <f>SUM(B8:F8)</f>
        <v>0</v>
      </c>
      <c r="I8" s="27"/>
      <c r="J8" s="27"/>
      <c r="K8" s="27"/>
      <c r="L8" s="27"/>
      <c r="M8" s="27"/>
      <c r="N8" s="27"/>
      <c r="O8" s="27"/>
    </row>
    <row r="9" spans="1:19" s="5" customFormat="1" ht="12" x14ac:dyDescent="0.2">
      <c r="A9" s="46" t="s">
        <v>13</v>
      </c>
      <c r="B9" s="23">
        <f>SUM(B7:B8)</f>
        <v>0</v>
      </c>
      <c r="C9" s="23">
        <f>SUM(C7:C8)</f>
        <v>0</v>
      </c>
      <c r="D9" s="23">
        <f>SUM(D7:D8)</f>
        <v>0</v>
      </c>
      <c r="E9" s="23">
        <f>SUM(E7:E8)</f>
        <v>0</v>
      </c>
      <c r="F9" s="23">
        <f>SUM(F7:F8)</f>
        <v>0</v>
      </c>
      <c r="G9" s="23"/>
      <c r="H9" s="56">
        <f>SUM(B9,C9,D9,E9,F9)</f>
        <v>0</v>
      </c>
      <c r="I9" s="35"/>
      <c r="J9" s="35"/>
      <c r="K9" s="35"/>
      <c r="L9" s="35"/>
      <c r="M9" s="35"/>
      <c r="N9" s="35"/>
      <c r="O9" s="35"/>
    </row>
    <row r="10" spans="1:19" x14ac:dyDescent="0.2">
      <c r="A10" s="58" t="s">
        <v>37</v>
      </c>
      <c r="B10" s="33">
        <f>IF(B9&gt;25000,25000,B9)</f>
        <v>0</v>
      </c>
      <c r="C10" s="33">
        <f>IF((B9+C9)&lt;25000,C9,IF((25000-B9)&lt;0,0,25000-B9))</f>
        <v>0</v>
      </c>
      <c r="D10" s="33">
        <f>IF((B9+C9+D9)&lt;25000,D9,IF((25000-B9-C9)&lt;0,0,25000-B9-C9))</f>
        <v>0</v>
      </c>
      <c r="E10" s="33">
        <f>IF((B9+C9+D9+E9)&lt;25000,E9,IF((25000-B9-C9-D9)&lt;0,0,25000-B9-C9-D9))</f>
        <v>0</v>
      </c>
      <c r="F10" s="33">
        <f>IF((B9+C9+D9+E9+F9)&lt;25000,F9,IF((25000-B9-C9-D9-E9)&lt;0,0,25000-B9-C9-D9-E9))</f>
        <v>0</v>
      </c>
      <c r="H10" s="32"/>
    </row>
    <row r="12" spans="1:19" x14ac:dyDescent="0.2">
      <c r="A12" s="176" t="s">
        <v>71</v>
      </c>
      <c r="B12" s="176"/>
      <c r="C12" s="176"/>
      <c r="D12" s="176"/>
      <c r="E12" s="176"/>
      <c r="F12" s="176"/>
      <c r="G12" s="176"/>
      <c r="H12" s="176"/>
    </row>
    <row r="13" spans="1:19" x14ac:dyDescent="0.2">
      <c r="A13" s="30" t="s">
        <v>28</v>
      </c>
      <c r="B13" s="175"/>
      <c r="C13" s="175"/>
      <c r="D13" s="175"/>
      <c r="E13" s="175"/>
      <c r="F13" s="175"/>
      <c r="G13" s="175"/>
      <c r="H13" s="175"/>
    </row>
    <row r="14" spans="1:19" x14ac:dyDescent="0.2">
      <c r="A14" s="30" t="s">
        <v>160</v>
      </c>
      <c r="B14" s="175"/>
      <c r="C14" s="175"/>
      <c r="D14" s="175"/>
      <c r="E14" s="175"/>
      <c r="F14" s="175"/>
      <c r="G14" s="175"/>
      <c r="H14" s="175"/>
    </row>
    <row r="15" spans="1:19" s="4" customFormat="1" ht="12" x14ac:dyDescent="0.2">
      <c r="A15" s="57"/>
      <c r="B15" s="55" t="s">
        <v>4</v>
      </c>
      <c r="C15" s="55" t="s">
        <v>5</v>
      </c>
      <c r="D15" s="55" t="s">
        <v>6</v>
      </c>
      <c r="E15" s="55" t="s">
        <v>7</v>
      </c>
      <c r="F15" s="55" t="s">
        <v>8</v>
      </c>
      <c r="G15" s="55"/>
      <c r="H15" s="55" t="s">
        <v>10</v>
      </c>
      <c r="I15" s="31"/>
      <c r="J15" s="31"/>
      <c r="K15" s="31"/>
      <c r="L15" s="31"/>
      <c r="M15" s="31"/>
      <c r="N15" s="31"/>
      <c r="O15" s="31"/>
    </row>
    <row r="16" spans="1:19" s="3" customFormat="1" ht="12" x14ac:dyDescent="0.2">
      <c r="A16" s="48" t="s">
        <v>26</v>
      </c>
      <c r="B16" s="94"/>
      <c r="C16" s="94"/>
      <c r="D16" s="94"/>
      <c r="E16" s="94"/>
      <c r="F16" s="94"/>
      <c r="G16" s="33"/>
      <c r="H16" s="34">
        <f>SUM(B16:F16)</f>
        <v>0</v>
      </c>
      <c r="I16" s="27"/>
      <c r="J16" s="27"/>
      <c r="K16" s="27"/>
      <c r="L16" s="27"/>
      <c r="M16" s="27"/>
      <c r="N16" s="27"/>
      <c r="O16" s="27"/>
    </row>
    <row r="17" spans="1:15" s="3" customFormat="1" ht="12" x14ac:dyDescent="0.2">
      <c r="A17" s="48" t="s">
        <v>27</v>
      </c>
      <c r="B17" s="94"/>
      <c r="C17" s="94"/>
      <c r="D17" s="94"/>
      <c r="E17" s="94"/>
      <c r="F17" s="94"/>
      <c r="G17" s="33"/>
      <c r="H17" s="34">
        <f>SUM(B17:F17)</f>
        <v>0</v>
      </c>
      <c r="I17" s="27"/>
      <c r="J17" s="27"/>
      <c r="K17" s="27"/>
      <c r="L17" s="27"/>
      <c r="M17" s="27"/>
      <c r="N17" s="27"/>
      <c r="O17" s="27"/>
    </row>
    <row r="18" spans="1:15" s="5" customFormat="1" ht="12" x14ac:dyDescent="0.2">
      <c r="A18" s="46" t="s">
        <v>13</v>
      </c>
      <c r="B18" s="23">
        <f>SUM(B16:B17)</f>
        <v>0</v>
      </c>
      <c r="C18" s="23">
        <f>SUM(C16:C17)</f>
        <v>0</v>
      </c>
      <c r="D18" s="23">
        <f>SUM(D16:D17)</f>
        <v>0</v>
      </c>
      <c r="E18" s="23">
        <f>SUM(E16:E17)</f>
        <v>0</v>
      </c>
      <c r="F18" s="23">
        <f>SUM(F16:F17)</f>
        <v>0</v>
      </c>
      <c r="G18" s="23"/>
      <c r="H18" s="56">
        <f>SUM(B18,C18,D18,E18,F18)</f>
        <v>0</v>
      </c>
      <c r="I18" s="35"/>
      <c r="J18" s="35"/>
      <c r="K18" s="35"/>
      <c r="L18" s="35"/>
      <c r="M18" s="35"/>
      <c r="N18" s="35"/>
      <c r="O18" s="35"/>
    </row>
    <row r="19" spans="1:15" s="3" customFormat="1" ht="12" x14ac:dyDescent="0.2">
      <c r="A19" s="58" t="s">
        <v>37</v>
      </c>
      <c r="B19" s="33">
        <f>IF(B18&gt;25000,25000,B18)</f>
        <v>0</v>
      </c>
      <c r="C19" s="33">
        <f>IF((B18+C18)&lt;25000,C18,IF((25000-B18)&lt;0,0,25000-B18))</f>
        <v>0</v>
      </c>
      <c r="D19" s="33">
        <f>IF((B18+C18+D18)&lt;25000,D18,IF((25000-B18-C18)&lt;0,0,25000-B18-C18))</f>
        <v>0</v>
      </c>
      <c r="E19" s="33">
        <f>IF((B18+C18+D18+E18)&lt;25000,E18,IF((25000-B18-C18-D18)&lt;0,0,25000-B18-C18-D18))</f>
        <v>0</v>
      </c>
      <c r="F19" s="33">
        <f>IF((B18+C18+D18+E18+F18)&lt;25000,F18,IF((25000-B18-C18-D18-E18)&lt;0,0,25000-B18-C18-D18-E18))</f>
        <v>0</v>
      </c>
      <c r="G19" s="27"/>
      <c r="H19" s="32"/>
      <c r="I19" s="27"/>
      <c r="J19" s="27"/>
      <c r="K19" s="27"/>
      <c r="L19" s="27"/>
      <c r="M19" s="27"/>
      <c r="N19" s="27"/>
      <c r="O19" s="27"/>
    </row>
    <row r="21" spans="1:15" x14ac:dyDescent="0.2">
      <c r="A21" s="176" t="s">
        <v>72</v>
      </c>
      <c r="B21" s="176"/>
      <c r="C21" s="176"/>
      <c r="D21" s="176"/>
      <c r="E21" s="176"/>
      <c r="F21" s="176"/>
      <c r="G21" s="176"/>
      <c r="H21" s="176"/>
    </row>
    <row r="22" spans="1:15" x14ac:dyDescent="0.2">
      <c r="A22" s="30" t="s">
        <v>28</v>
      </c>
      <c r="B22" s="175"/>
      <c r="C22" s="175"/>
      <c r="D22" s="175"/>
      <c r="E22" s="175"/>
      <c r="F22" s="175"/>
      <c r="G22" s="175"/>
      <c r="H22" s="175"/>
    </row>
    <row r="23" spans="1:15" x14ac:dyDescent="0.2">
      <c r="A23" s="30" t="s">
        <v>160</v>
      </c>
      <c r="B23" s="175"/>
      <c r="C23" s="175"/>
      <c r="D23" s="175"/>
      <c r="E23" s="175"/>
      <c r="F23" s="175"/>
      <c r="G23" s="175"/>
      <c r="H23" s="175"/>
    </row>
    <row r="24" spans="1:15" s="4" customFormat="1" ht="12" x14ac:dyDescent="0.2">
      <c r="A24" s="57"/>
      <c r="B24" s="55" t="s">
        <v>4</v>
      </c>
      <c r="C24" s="55" t="s">
        <v>5</v>
      </c>
      <c r="D24" s="55" t="s">
        <v>6</v>
      </c>
      <c r="E24" s="55" t="s">
        <v>7</v>
      </c>
      <c r="F24" s="55" t="s">
        <v>8</v>
      </c>
      <c r="G24" s="55"/>
      <c r="H24" s="55" t="s">
        <v>10</v>
      </c>
      <c r="I24" s="31"/>
      <c r="J24" s="31"/>
      <c r="K24" s="31"/>
      <c r="L24" s="31"/>
      <c r="M24" s="31"/>
      <c r="N24" s="31"/>
      <c r="O24" s="31"/>
    </row>
    <row r="25" spans="1:15" s="3" customFormat="1" ht="12" x14ac:dyDescent="0.2">
      <c r="A25" s="48" t="s">
        <v>26</v>
      </c>
      <c r="B25" s="94"/>
      <c r="C25" s="94"/>
      <c r="D25" s="94"/>
      <c r="E25" s="94"/>
      <c r="F25" s="94"/>
      <c r="G25" s="33"/>
      <c r="H25" s="34">
        <f>SUM(B25:F25)</f>
        <v>0</v>
      </c>
      <c r="I25" s="27"/>
      <c r="J25" s="27"/>
      <c r="K25" s="27"/>
      <c r="L25" s="27"/>
      <c r="M25" s="27"/>
      <c r="N25" s="27"/>
      <c r="O25" s="27"/>
    </row>
    <row r="26" spans="1:15" s="3" customFormat="1" ht="12" x14ac:dyDescent="0.2">
      <c r="A26" s="48" t="s">
        <v>27</v>
      </c>
      <c r="B26" s="94"/>
      <c r="C26" s="94"/>
      <c r="D26" s="94"/>
      <c r="E26" s="94"/>
      <c r="F26" s="94"/>
      <c r="G26" s="33"/>
      <c r="H26" s="34">
        <f>SUM(B26:F26)</f>
        <v>0</v>
      </c>
      <c r="I26" s="27"/>
      <c r="J26" s="27"/>
      <c r="K26" s="27"/>
      <c r="L26" s="27"/>
      <c r="M26" s="27"/>
      <c r="N26" s="27"/>
      <c r="O26" s="27"/>
    </row>
    <row r="27" spans="1:15" s="5" customFormat="1" ht="12" x14ac:dyDescent="0.2">
      <c r="A27" s="46" t="s">
        <v>13</v>
      </c>
      <c r="B27" s="23">
        <f>SUM(B25:B26)</f>
        <v>0</v>
      </c>
      <c r="C27" s="23">
        <f>SUM(C25:C26)</f>
        <v>0</v>
      </c>
      <c r="D27" s="23">
        <f>SUM(D25:D26)</f>
        <v>0</v>
      </c>
      <c r="E27" s="23">
        <f>SUM(E25:E26)</f>
        <v>0</v>
      </c>
      <c r="F27" s="23">
        <f>SUM(F25:F26)</f>
        <v>0</v>
      </c>
      <c r="G27" s="23"/>
      <c r="H27" s="56">
        <f>SUM(B27,C27,D27,E27,F27)</f>
        <v>0</v>
      </c>
      <c r="I27" s="35"/>
      <c r="J27" s="35"/>
      <c r="K27" s="35"/>
      <c r="L27" s="35"/>
      <c r="M27" s="35"/>
      <c r="N27" s="35"/>
      <c r="O27" s="35"/>
    </row>
    <row r="28" spans="1:15" s="3" customFormat="1" ht="12" x14ac:dyDescent="0.2">
      <c r="A28" s="58" t="s">
        <v>37</v>
      </c>
      <c r="B28" s="33">
        <f>IF(B27&gt;25000,25000,B27)</f>
        <v>0</v>
      </c>
      <c r="C28" s="33">
        <f>IF((B27+C27)&lt;25000,C27,IF((25000-B27)&lt;0,0,25000-B27))</f>
        <v>0</v>
      </c>
      <c r="D28" s="33">
        <f>IF((B27+C27+D27)&lt;25000,D27,IF((25000-B27-C27)&lt;0,0,25000-B27-C27))</f>
        <v>0</v>
      </c>
      <c r="E28" s="33">
        <f>IF((B27+C27+D27+E27)&lt;25000,E27,IF((25000-B27-C27-D27)&lt;0,0,25000-B27-C27-D27))</f>
        <v>0</v>
      </c>
      <c r="F28" s="33">
        <f>IF((B27+C27+D27+E27+F27)&lt;25000,F27,IF((25000-B27-C27-D27-E27)&lt;0,0,25000-B27-C27-D27-E27))</f>
        <v>0</v>
      </c>
      <c r="G28" s="27"/>
      <c r="H28" s="32"/>
      <c r="I28" s="27"/>
      <c r="J28" s="27"/>
      <c r="K28" s="27"/>
      <c r="L28" s="27"/>
      <c r="M28" s="27"/>
      <c r="N28" s="27"/>
      <c r="O28" s="27"/>
    </row>
    <row r="30" spans="1:15" x14ac:dyDescent="0.2">
      <c r="A30" s="176" t="s">
        <v>73</v>
      </c>
      <c r="B30" s="176"/>
      <c r="C30" s="176"/>
      <c r="D30" s="176"/>
      <c r="E30" s="176"/>
      <c r="F30" s="176"/>
      <c r="G30" s="176"/>
      <c r="H30" s="176"/>
    </row>
    <row r="31" spans="1:15" x14ac:dyDescent="0.2">
      <c r="A31" s="30" t="s">
        <v>28</v>
      </c>
      <c r="B31" s="175"/>
      <c r="C31" s="175"/>
      <c r="D31" s="175"/>
      <c r="E31" s="175"/>
      <c r="F31" s="175"/>
      <c r="G31" s="175"/>
      <c r="H31" s="175"/>
    </row>
    <row r="32" spans="1:15" x14ac:dyDescent="0.2">
      <c r="A32" s="30" t="s">
        <v>160</v>
      </c>
      <c r="B32" s="175"/>
      <c r="C32" s="175"/>
      <c r="D32" s="175"/>
      <c r="E32" s="175"/>
      <c r="F32" s="175"/>
      <c r="G32" s="175"/>
      <c r="H32" s="175"/>
    </row>
    <row r="33" spans="1:15" s="4" customFormat="1" ht="12" x14ac:dyDescent="0.2">
      <c r="A33" s="57"/>
      <c r="B33" s="55" t="s">
        <v>4</v>
      </c>
      <c r="C33" s="55" t="s">
        <v>5</v>
      </c>
      <c r="D33" s="55" t="s">
        <v>6</v>
      </c>
      <c r="E33" s="55" t="s">
        <v>7</v>
      </c>
      <c r="F33" s="55" t="s">
        <v>8</v>
      </c>
      <c r="G33" s="55"/>
      <c r="H33" s="55" t="s">
        <v>10</v>
      </c>
      <c r="I33" s="31"/>
      <c r="J33" s="31"/>
      <c r="K33" s="31"/>
      <c r="L33" s="31"/>
      <c r="M33" s="31"/>
      <c r="N33" s="31"/>
      <c r="O33" s="31"/>
    </row>
    <row r="34" spans="1:15" s="3" customFormat="1" ht="12" x14ac:dyDescent="0.2">
      <c r="A34" s="48" t="s">
        <v>26</v>
      </c>
      <c r="B34" s="94"/>
      <c r="C34" s="94"/>
      <c r="D34" s="94"/>
      <c r="E34" s="94"/>
      <c r="F34" s="94"/>
      <c r="G34" s="33"/>
      <c r="H34" s="34">
        <f>SUM(B34:F34)</f>
        <v>0</v>
      </c>
      <c r="I34" s="27"/>
      <c r="J34" s="27"/>
      <c r="K34" s="27"/>
      <c r="L34" s="27"/>
      <c r="M34" s="27"/>
      <c r="N34" s="27"/>
      <c r="O34" s="27"/>
    </row>
    <row r="35" spans="1:15" s="3" customFormat="1" ht="12" x14ac:dyDescent="0.2">
      <c r="A35" s="48" t="s">
        <v>27</v>
      </c>
      <c r="B35" s="94"/>
      <c r="C35" s="94"/>
      <c r="D35" s="94"/>
      <c r="E35" s="94"/>
      <c r="F35" s="94"/>
      <c r="G35" s="33"/>
      <c r="H35" s="34">
        <f>SUM(B35:F35)</f>
        <v>0</v>
      </c>
      <c r="I35" s="27"/>
      <c r="J35" s="27"/>
      <c r="K35" s="27"/>
      <c r="L35" s="27"/>
      <c r="M35" s="27"/>
      <c r="N35" s="27"/>
      <c r="O35" s="27"/>
    </row>
    <row r="36" spans="1:15" s="5" customFormat="1" ht="12" x14ac:dyDescent="0.2">
      <c r="A36" s="46" t="s">
        <v>13</v>
      </c>
      <c r="B36" s="23">
        <f>SUM(B34:B35)</f>
        <v>0</v>
      </c>
      <c r="C36" s="23">
        <f>SUM(C34:C35)</f>
        <v>0</v>
      </c>
      <c r="D36" s="23">
        <f>SUM(D34:D35)</f>
        <v>0</v>
      </c>
      <c r="E36" s="23">
        <f>SUM(E34:E35)</f>
        <v>0</v>
      </c>
      <c r="F36" s="23">
        <f>SUM(F34:F35)</f>
        <v>0</v>
      </c>
      <c r="G36" s="23"/>
      <c r="H36" s="56">
        <f>SUM(B36,C36,D36,E36,F36)</f>
        <v>0</v>
      </c>
      <c r="I36" s="35"/>
      <c r="J36" s="35"/>
      <c r="K36" s="35"/>
      <c r="L36" s="35"/>
      <c r="M36" s="35"/>
      <c r="N36" s="35"/>
      <c r="O36" s="35"/>
    </row>
    <row r="37" spans="1:15" s="3" customFormat="1" ht="12" x14ac:dyDescent="0.2">
      <c r="A37" s="58" t="s">
        <v>37</v>
      </c>
      <c r="B37" s="33">
        <f>IF(B36&gt;25000,25000,B36)</f>
        <v>0</v>
      </c>
      <c r="C37" s="33">
        <f>IF((B36+C36)&lt;25000,C36,IF((25000-B36)&lt;0,0,25000-B36))</f>
        <v>0</v>
      </c>
      <c r="D37" s="33">
        <f>IF((B36+C36+D36)&lt;25000,D36,IF((25000-B36-C36)&lt;0,0,25000-B36-C36))</f>
        <v>0</v>
      </c>
      <c r="E37" s="33">
        <f>IF((B36+C36+D36+E36)&lt;25000,E36,IF((25000-B36-C36-D36)&lt;0,0,25000-B36-C36-D36))</f>
        <v>0</v>
      </c>
      <c r="F37" s="33">
        <f>IF((B36+C36+D36+E36+F36)&lt;25000,F36,IF((25000-B36-C36-D36-E36)&lt;0,0,25000-B36-C36-D36-E36))</f>
        <v>0</v>
      </c>
      <c r="G37" s="27"/>
      <c r="H37" s="32"/>
      <c r="I37" s="27"/>
      <c r="J37" s="27"/>
      <c r="K37" s="27"/>
      <c r="L37" s="27"/>
      <c r="M37" s="27"/>
      <c r="N37" s="27"/>
      <c r="O37" s="27"/>
    </row>
    <row r="38" spans="1:15" x14ac:dyDescent="0.2">
      <c r="A38" s="36"/>
      <c r="B38" s="37"/>
      <c r="C38" s="37"/>
      <c r="D38" s="37"/>
      <c r="E38" s="37"/>
      <c r="F38" s="37"/>
    </row>
    <row r="39" spans="1:15" x14ac:dyDescent="0.2">
      <c r="A39" s="176" t="s">
        <v>74</v>
      </c>
      <c r="B39" s="176"/>
      <c r="C39" s="176"/>
      <c r="D39" s="176"/>
      <c r="E39" s="176"/>
      <c r="F39" s="176"/>
      <c r="G39" s="176"/>
      <c r="H39" s="176"/>
    </row>
    <row r="40" spans="1:15" x14ac:dyDescent="0.2">
      <c r="A40" s="30" t="s">
        <v>28</v>
      </c>
      <c r="B40" s="175"/>
      <c r="C40" s="175"/>
      <c r="D40" s="175"/>
      <c r="E40" s="175"/>
      <c r="F40" s="175"/>
      <c r="G40" s="175"/>
      <c r="H40" s="175"/>
    </row>
    <row r="41" spans="1:15" x14ac:dyDescent="0.2">
      <c r="A41" s="30" t="s">
        <v>160</v>
      </c>
      <c r="B41" s="175"/>
      <c r="C41" s="175"/>
      <c r="D41" s="175"/>
      <c r="E41" s="175"/>
      <c r="F41" s="175"/>
      <c r="G41" s="175"/>
      <c r="H41" s="175"/>
    </row>
    <row r="42" spans="1:15" s="4" customFormat="1" ht="12" x14ac:dyDescent="0.2">
      <c r="A42" s="57"/>
      <c r="B42" s="55" t="s">
        <v>4</v>
      </c>
      <c r="C42" s="55" t="s">
        <v>5</v>
      </c>
      <c r="D42" s="55" t="s">
        <v>6</v>
      </c>
      <c r="E42" s="55" t="s">
        <v>7</v>
      </c>
      <c r="F42" s="55" t="s">
        <v>8</v>
      </c>
      <c r="G42" s="55"/>
      <c r="H42" s="55" t="s">
        <v>10</v>
      </c>
      <c r="I42" s="31"/>
      <c r="J42" s="31"/>
      <c r="K42" s="31"/>
      <c r="L42" s="31"/>
      <c r="M42" s="31"/>
      <c r="N42" s="31"/>
      <c r="O42" s="31"/>
    </row>
    <row r="43" spans="1:15" s="3" customFormat="1" ht="12" x14ac:dyDescent="0.2">
      <c r="A43" s="48" t="s">
        <v>26</v>
      </c>
      <c r="B43" s="94"/>
      <c r="C43" s="94"/>
      <c r="D43" s="94"/>
      <c r="E43" s="94"/>
      <c r="F43" s="94"/>
      <c r="G43" s="33"/>
      <c r="H43" s="34">
        <f>SUM(B43:F43)</f>
        <v>0</v>
      </c>
      <c r="I43" s="27"/>
      <c r="J43" s="27"/>
      <c r="K43" s="27"/>
      <c r="L43" s="27"/>
      <c r="M43" s="27"/>
      <c r="N43" s="27"/>
      <c r="O43" s="27"/>
    </row>
    <row r="44" spans="1:15" s="3" customFormat="1" ht="12" x14ac:dyDescent="0.2">
      <c r="A44" s="48" t="s">
        <v>27</v>
      </c>
      <c r="B44" s="94"/>
      <c r="C44" s="94"/>
      <c r="D44" s="94"/>
      <c r="E44" s="94"/>
      <c r="F44" s="94"/>
      <c r="G44" s="33"/>
      <c r="H44" s="34">
        <f>SUM(B44:F44)</f>
        <v>0</v>
      </c>
      <c r="I44" s="27"/>
      <c r="J44" s="27"/>
      <c r="K44" s="27"/>
      <c r="L44" s="27"/>
      <c r="M44" s="27"/>
      <c r="N44" s="27"/>
      <c r="O44" s="27"/>
    </row>
    <row r="45" spans="1:15" s="5" customFormat="1" ht="12" x14ac:dyDescent="0.2">
      <c r="A45" s="46" t="s">
        <v>13</v>
      </c>
      <c r="B45" s="23">
        <f>SUM(B43:B44)</f>
        <v>0</v>
      </c>
      <c r="C45" s="23">
        <f>SUM(C43:C44)</f>
        <v>0</v>
      </c>
      <c r="D45" s="23">
        <f>SUM(D43:D44)</f>
        <v>0</v>
      </c>
      <c r="E45" s="23">
        <f>SUM(E43:E44)</f>
        <v>0</v>
      </c>
      <c r="F45" s="23">
        <f>SUM(F43:F44)</f>
        <v>0</v>
      </c>
      <c r="G45" s="23"/>
      <c r="H45" s="56">
        <f>SUM(B45,C45,D45,E45,F45)</f>
        <v>0</v>
      </c>
      <c r="I45" s="35"/>
      <c r="J45" s="35"/>
      <c r="K45" s="35"/>
      <c r="L45" s="35"/>
      <c r="M45" s="35"/>
      <c r="N45" s="35"/>
      <c r="O45" s="35"/>
    </row>
    <row r="46" spans="1:15" s="3" customFormat="1" ht="12" x14ac:dyDescent="0.2">
      <c r="A46" s="58" t="s">
        <v>37</v>
      </c>
      <c r="B46" s="33">
        <f>IF(B45&gt;25000,25000,B45)</f>
        <v>0</v>
      </c>
      <c r="C46" s="33">
        <f>IF((B45+C45)&lt;25000,C45,IF((25000-B45)&lt;0,0,25000-B45))</f>
        <v>0</v>
      </c>
      <c r="D46" s="33">
        <f>IF((B45+C45+D45)&lt;25000,D45,IF((25000-B45-C45)&lt;0,0,25000-B45-C45))</f>
        <v>0</v>
      </c>
      <c r="E46" s="33">
        <f>IF((B45+C45+D45+E45)&lt;25000,E45,IF((25000-B45-C45-D45)&lt;0,0,25000-B45-C45-D45))</f>
        <v>0</v>
      </c>
      <c r="F46" s="33">
        <f>IF((B45+C45+D45+E45+F45)&lt;25000,F45,IF((25000-B45-C45-D45-E45)&lt;0,0,25000-B45-C45-D45-E45))</f>
        <v>0</v>
      </c>
      <c r="G46" s="27"/>
      <c r="H46" s="32"/>
      <c r="I46" s="27"/>
      <c r="J46" s="27"/>
      <c r="K46" s="27"/>
      <c r="L46" s="27"/>
      <c r="M46" s="27"/>
      <c r="N46" s="27"/>
      <c r="O46" s="27"/>
    </row>
    <row r="48" spans="1:15" s="27" customFormat="1" ht="12" x14ac:dyDescent="0.2">
      <c r="A48" s="24" t="s">
        <v>51</v>
      </c>
      <c r="B48" s="25">
        <f>SUM(B10,B19,B28,B37,B46)</f>
        <v>0</v>
      </c>
      <c r="C48" s="25">
        <f>SUM(C10,C19,C28,C37,C46)</f>
        <v>0</v>
      </c>
      <c r="D48" s="25">
        <f>SUM(D10,D19,D28,D37,D46)</f>
        <v>0</v>
      </c>
      <c r="E48" s="25">
        <f>SUM(E10,E19,E28,E37,E46)</f>
        <v>0</v>
      </c>
      <c r="F48" s="25">
        <f>SUM(F10,F19,F28,F37,F46)</f>
        <v>0</v>
      </c>
      <c r="G48" s="26"/>
      <c r="H48" s="25">
        <f>SUM(B48:F48)</f>
        <v>0</v>
      </c>
    </row>
    <row r="49" spans="1:8" x14ac:dyDescent="0.2">
      <c r="A49" s="30" t="s">
        <v>52</v>
      </c>
      <c r="B49" s="23">
        <f>SUM(B9,B18,B27,B36,B45)-B48</f>
        <v>0</v>
      </c>
      <c r="C49" s="23">
        <f>SUM(C9,C18,C27,C36,C45)-C48</f>
        <v>0</v>
      </c>
      <c r="D49" s="23">
        <f>SUM(D9,D18,D27,D36,D45)-D48</f>
        <v>0</v>
      </c>
      <c r="E49" s="23">
        <f>SUM(E9,E18,E27,E36,E45)-E48</f>
        <v>0</v>
      </c>
      <c r="F49" s="23">
        <f>SUM(F9,F18,F27,F36,F45)-F48</f>
        <v>0</v>
      </c>
      <c r="G49" s="28"/>
      <c r="H49" s="56">
        <f>SUM(B49:F49)</f>
        <v>0</v>
      </c>
    </row>
    <row r="50" spans="1:8" x14ac:dyDescent="0.2">
      <c r="A50" s="47" t="s">
        <v>55</v>
      </c>
      <c r="B50" s="29">
        <f t="shared" ref="B50:F51" si="0">SUM(B7,B16,B25,B34,B43)</f>
        <v>0</v>
      </c>
      <c r="C50" s="29">
        <f t="shared" si="0"/>
        <v>0</v>
      </c>
      <c r="D50" s="29">
        <f t="shared" si="0"/>
        <v>0</v>
      </c>
      <c r="E50" s="29">
        <f t="shared" si="0"/>
        <v>0</v>
      </c>
      <c r="F50" s="29">
        <f t="shared" si="0"/>
        <v>0</v>
      </c>
      <c r="H50" s="59">
        <f>SUM(B50:F50)</f>
        <v>0</v>
      </c>
    </row>
    <row r="51" spans="1:8" x14ac:dyDescent="0.2">
      <c r="A51" s="47" t="s">
        <v>54</v>
      </c>
      <c r="B51" s="29">
        <f t="shared" si="0"/>
        <v>0</v>
      </c>
      <c r="C51" s="29">
        <f t="shared" si="0"/>
        <v>0</v>
      </c>
      <c r="D51" s="29">
        <f t="shared" si="0"/>
        <v>0</v>
      </c>
      <c r="E51" s="29">
        <f t="shared" si="0"/>
        <v>0</v>
      </c>
      <c r="F51" s="29">
        <f t="shared" si="0"/>
        <v>0</v>
      </c>
      <c r="H51" s="59">
        <f>SUM(B51:F51)</f>
        <v>0</v>
      </c>
    </row>
    <row r="52" spans="1:8" x14ac:dyDescent="0.2">
      <c r="A52" s="24" t="s">
        <v>164</v>
      </c>
      <c r="B52" s="25">
        <f>SUM(B9,B18,B27,B36,B45)</f>
        <v>0</v>
      </c>
      <c r="C52" s="25">
        <f>SUM(C9,C18,C27,C36,C45)</f>
        <v>0</v>
      </c>
      <c r="D52" s="25">
        <f>SUM(D9,D18,D27,D36,D45)</f>
        <v>0</v>
      </c>
      <c r="E52" s="25">
        <f>SUM(E9,E18,E27,E36,E45)</f>
        <v>0</v>
      </c>
      <c r="F52" s="25">
        <f>SUM(F9,F18,F27,F36,F45)</f>
        <v>0</v>
      </c>
      <c r="G52" s="26"/>
      <c r="H52" s="25">
        <f>SUM(B52:F52)</f>
        <v>0</v>
      </c>
    </row>
    <row r="54" spans="1:8" x14ac:dyDescent="0.2">
      <c r="E54" s="62"/>
    </row>
    <row r="55" spans="1:8" x14ac:dyDescent="0.2">
      <c r="E55" s="62"/>
    </row>
    <row r="56" spans="1:8" x14ac:dyDescent="0.2">
      <c r="E56" s="62"/>
    </row>
  </sheetData>
  <mergeCells count="16">
    <mergeCell ref="A2:H2"/>
    <mergeCell ref="B40:H40"/>
    <mergeCell ref="B41:H41"/>
    <mergeCell ref="B23:H23"/>
    <mergeCell ref="B31:H31"/>
    <mergeCell ref="B32:H32"/>
    <mergeCell ref="A3:H3"/>
    <mergeCell ref="A39:H39"/>
    <mergeCell ref="A12:H12"/>
    <mergeCell ref="A21:H21"/>
    <mergeCell ref="A30:H30"/>
    <mergeCell ref="B4:H4"/>
    <mergeCell ref="B5:H5"/>
    <mergeCell ref="B13:H13"/>
    <mergeCell ref="B14:H14"/>
    <mergeCell ref="B22:H22"/>
  </mergeCells>
  <phoneticPr fontId="2" type="noConversion"/>
  <dataValidations count="19">
    <dataValidation allowBlank="1" showErrorMessage="1" promptTitle="Institution" prompt="fill in the name of the institution you will be subcontracting to (e.g., Brown University)." sqref="B4:H4 B13:H13 B22:H22 B31:H31 B40:H40"/>
    <dataValidation allowBlank="1" showErrorMessage="1" promptTitle="Principal Investigator" prompt="fill in the name of the PI at this subcontract site (e.g., Chris Meloni)." sqref="B5:H5 B14:H14 B23:H23"/>
    <dataValidation allowBlank="1" showErrorMessage="1" promptTitle="Principal Investigator" prompt="fill in the name of the PI at this subcontract site (e.g., Chris Meloni)." sqref="B32:H32 B41:H41"/>
    <dataValidation allowBlank="1" showErrorMessage="1" promptTitle="Subcontactor indirect costs" prompt="fill in the indirect costs the subcontractee is charging for each year of the project." sqref="B8:F8 B17:F17 B26:F26 B35:F35 B44:F44"/>
    <dataValidation allowBlank="1" showInputMessage="1" showErrorMessage="1" promptTitle="Annual F/A inclusion totals" prompt="Annual total of all subcontract costs that will be included in UL's indirect costs." sqref="B48:F48"/>
    <dataValidation allowBlank="1" showInputMessage="1" showErrorMessage="1" promptTitle="Total F/A inclusion" prompt="Total of all subcontract costs that will be included in UL's indirect costs." sqref="H48"/>
    <dataValidation allowBlank="1" showInputMessage="1" showErrorMessage="1" promptTitle="Annual F/A exclusions" prompt="Annual total of all subcontract costs that will be excluded from UL's indirect costs (exceed $25,000)." sqref="B49:F49"/>
    <dataValidation allowBlank="1" showInputMessage="1" showErrorMessage="1" promptTitle="Total F/A exclusions" prompt="Total of all subcontract costs that will be excluded from UL's indirect costs (exceed $25,000) for this project." sqref="H49"/>
    <dataValidation allowBlank="1" showInputMessage="1" showErrorMessage="1" promptTitle="Annual direct costs" prompt="Annual total of all direct costs charged by all subcontractors." sqref="B50:F50"/>
    <dataValidation allowBlank="1" showInputMessage="1" showErrorMessage="1" promptTitle="Annual indirect costs totals" prompt="Annual total of all indirect costs charged by all subcontractors." sqref="B51:F51"/>
    <dataValidation allowBlank="1" showInputMessage="1" showErrorMessage="1" promptTitle="Annual total subcontractor costs" prompt="Annual total of both direct and indirect costs for all subcontractors." sqref="B52:F52"/>
    <dataValidation allowBlank="1" showInputMessage="1" showErrorMessage="1" promptTitle="Total direct costs" prompt="Total of all subcontractor direct costs for the entire project." sqref="H50"/>
    <dataValidation allowBlank="1" showInputMessage="1" showErrorMessage="1" promptTitle="Total indirect costs" prompt="Total of all subcontractor indirect costs for the entire project." sqref="H51"/>
    <dataValidation allowBlank="1" showInputMessage="1" showErrorMessage="1" promptTitle="Total subcontractors contacts" prompt="Total of both direct and indirect costs for all subcontractors for the entire project period." sqref="H52"/>
    <dataValidation allowBlank="1" showErrorMessage="1" promptTitle="Annual direct costs" prompt="fill in the direct costs the subcontractee is charging for each year of the project." sqref="B34:F34 B7:F7 B16:F16 B25:F25 B43:F43"/>
    <dataValidation allowBlank="1" showErrorMessage="1" promptTitle="Subcontractor annual costs" prompt="Automatically totals the direct and indirect costs for each year." sqref="B9:F9 B18:F18 B27:F27 B36:F36 B45:F45"/>
    <dataValidation allowBlank="1" showErrorMessage="1" promptTitle="F/A amounts included" prompt="The amount of this year's budget that will be included in UL's indirect costs (&lt;$25,000)." sqref="B10:F10 B19:F19 B28:F28 B37:F37 B46:F46"/>
    <dataValidation allowBlank="1" showErrorMessage="1" promptTitle="Project direct costs" prompt="Total direct costs charged by this sponsor for the entire project period." sqref="H7 H16 H25 H34 H43"/>
    <dataValidation allowBlank="1" showErrorMessage="1" promptTitle="Subcontractor total project cost" prompt="Total amount of direct and indirect costs that this subcontractor is charging for the entire project period." sqref="H9 H18 H27 H36 H45"/>
  </dataValidations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S66"/>
  <sheetViews>
    <sheetView workbookViewId="0">
      <selection activeCell="L27" sqref="L27"/>
    </sheetView>
  </sheetViews>
  <sheetFormatPr defaultRowHeight="12.75" x14ac:dyDescent="0.2"/>
  <cols>
    <col min="1" max="2" width="10.7109375" customWidth="1"/>
    <col min="3" max="3" width="16.5703125" customWidth="1"/>
    <col min="4" max="4" width="19.5703125" bestFit="1" customWidth="1"/>
    <col min="5" max="5" width="19.85546875" bestFit="1" customWidth="1"/>
    <col min="6" max="6" width="15.7109375" customWidth="1"/>
    <col min="9" max="9" width="10.140625" bestFit="1" customWidth="1"/>
    <col min="10" max="10" width="12" bestFit="1" customWidth="1"/>
    <col min="11" max="11" width="34.5703125" customWidth="1"/>
    <col min="12" max="12" width="38.7109375" customWidth="1"/>
  </cols>
  <sheetData>
    <row r="2" spans="1:19" s="50" customFormat="1" ht="15.75" x14ac:dyDescent="0.25">
      <c r="A2" s="145" t="s">
        <v>95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4" spans="1:19" ht="15" x14ac:dyDescent="0.25">
      <c r="A4" s="178" t="s">
        <v>96</v>
      </c>
      <c r="B4" s="179"/>
      <c r="C4" s="179"/>
      <c r="D4" s="179"/>
      <c r="E4" s="179"/>
      <c r="F4" s="180"/>
      <c r="K4" s="131" t="s">
        <v>191</v>
      </c>
      <c r="L4" s="132" t="s">
        <v>199</v>
      </c>
    </row>
    <row r="5" spans="1:19" x14ac:dyDescent="0.2">
      <c r="A5" s="177" t="s">
        <v>97</v>
      </c>
      <c r="B5" s="177"/>
      <c r="C5" s="177"/>
      <c r="D5" s="185">
        <f>'MAIN SHEET'!B4</f>
        <v>0</v>
      </c>
      <c r="E5" s="185"/>
      <c r="F5" s="185"/>
      <c r="K5" s="131" t="s">
        <v>192</v>
      </c>
      <c r="L5" s="133">
        <v>43550</v>
      </c>
    </row>
    <row r="6" spans="1:19" x14ac:dyDescent="0.2">
      <c r="A6" s="177" t="s">
        <v>98</v>
      </c>
      <c r="B6" s="177"/>
      <c r="C6" s="177"/>
      <c r="D6" s="186" t="str">
        <f>TEXT('MAIN SHEET'!B5, "mm/dd/yyyy")&amp;" - "&amp;TEXT('MAIN SHEET'!B6, "mm/dd/yyyy")</f>
        <v>04/01/2020 - 03/31/2025</v>
      </c>
      <c r="E6" s="186"/>
      <c r="F6" s="186"/>
    </row>
    <row r="7" spans="1:19" ht="15" x14ac:dyDescent="0.2">
      <c r="A7" s="177" t="s">
        <v>99</v>
      </c>
      <c r="B7" s="177"/>
      <c r="C7" s="177"/>
      <c r="D7" s="181">
        <f>'MAIN SHEET'!K99</f>
        <v>1953438</v>
      </c>
      <c r="E7" s="181"/>
      <c r="F7" s="181"/>
      <c r="K7" s="140" t="s">
        <v>193</v>
      </c>
    </row>
    <row r="8" spans="1:19" x14ac:dyDescent="0.2">
      <c r="A8" s="177" t="s">
        <v>100</v>
      </c>
      <c r="B8" s="177"/>
      <c r="C8" s="177"/>
      <c r="D8" s="181">
        <f>D7</f>
        <v>1953438</v>
      </c>
      <c r="E8" s="181"/>
      <c r="F8" s="181"/>
    </row>
    <row r="11" spans="1:19" x14ac:dyDescent="0.2">
      <c r="A11" s="178" t="s">
        <v>77</v>
      </c>
      <c r="B11" s="179"/>
      <c r="C11" s="179"/>
      <c r="D11" s="179"/>
      <c r="E11" s="179"/>
      <c r="F11" s="180"/>
    </row>
    <row r="12" spans="1:19" x14ac:dyDescent="0.2">
      <c r="A12" s="70" t="s">
        <v>67</v>
      </c>
      <c r="B12" s="70" t="s">
        <v>68</v>
      </c>
      <c r="F12" s="68" t="s">
        <v>79</v>
      </c>
    </row>
    <row r="13" spans="1:19" x14ac:dyDescent="0.2">
      <c r="A13" s="65">
        <f>'MAIN SHEET'!E8</f>
        <v>43922</v>
      </c>
      <c r="B13" s="65">
        <f>'MAIN SHEET'!E9</f>
        <v>44286</v>
      </c>
      <c r="C13" s="177" t="s">
        <v>78</v>
      </c>
      <c r="D13" s="177"/>
      <c r="E13" s="177"/>
      <c r="F13" s="66">
        <f>'MAIN SHEET'!E93-SUBCONTRACTS!B51</f>
        <v>250000</v>
      </c>
    </row>
    <row r="14" spans="1:19" x14ac:dyDescent="0.2">
      <c r="A14" s="177" t="s">
        <v>56</v>
      </c>
      <c r="B14" s="177"/>
      <c r="C14" s="177"/>
      <c r="D14" s="177"/>
      <c r="E14" s="177"/>
      <c r="F14" s="66">
        <f>SUBCONTRACTS!B51</f>
        <v>0</v>
      </c>
      <c r="I14" s="1"/>
    </row>
    <row r="15" spans="1:19" x14ac:dyDescent="0.2">
      <c r="A15" s="177" t="s">
        <v>80</v>
      </c>
      <c r="B15" s="177"/>
      <c r="C15" s="177"/>
      <c r="D15" s="177"/>
      <c r="E15" s="177"/>
      <c r="F15" s="66">
        <f>SUM(F13:F14)</f>
        <v>250000</v>
      </c>
    </row>
    <row r="17" spans="1:11" x14ac:dyDescent="0.2">
      <c r="C17" s="69" t="s">
        <v>81</v>
      </c>
      <c r="D17" s="69" t="s">
        <v>82</v>
      </c>
      <c r="E17" s="69" t="s">
        <v>83</v>
      </c>
      <c r="F17" s="69" t="s">
        <v>79</v>
      </c>
      <c r="H17" s="182" t="s">
        <v>190</v>
      </c>
      <c r="I17" s="183"/>
      <c r="J17" s="183"/>
      <c r="K17" s="183"/>
    </row>
    <row r="18" spans="1:11" x14ac:dyDescent="0.2">
      <c r="C18" s="64" t="s">
        <v>84</v>
      </c>
      <c r="D18" s="67">
        <f>IF(OR(A13=H18,A13=H19,A13=H20),0.53,0.56)</f>
        <v>0.56000000000000005</v>
      </c>
      <c r="E18" s="66">
        <f>IF(A13=H18,'MAIN SHEET'!E95*J18,IF(A13=H19,'MAIN SHEET'!E95*J19,IF(A13=H20,'MAIN SHEET'!E95*J20,'MAIN SHEET'!E95)))</f>
        <v>250000</v>
      </c>
      <c r="F18" s="66">
        <f>E18*D18</f>
        <v>140000</v>
      </c>
      <c r="H18" s="129">
        <v>44652</v>
      </c>
      <c r="I18" s="130">
        <f>(0.25*0.56)+(0.75*0.565)</f>
        <v>0.56374999999999997</v>
      </c>
      <c r="J18" s="137">
        <f>3/12</f>
        <v>0.25</v>
      </c>
      <c r="K18" s="139">
        <f>1-J18</f>
        <v>0.75</v>
      </c>
    </row>
    <row r="19" spans="1:11" x14ac:dyDescent="0.2">
      <c r="C19" s="135" t="str">
        <f>IF(OR(A13=H18,A13=H19,A13=H20),"MTDC","")</f>
        <v/>
      </c>
      <c r="D19" s="134" t="str">
        <f>IF(OR(A13=H18,A13=H19,A13=H20),0.56,"")</f>
        <v/>
      </c>
      <c r="E19" s="136">
        <f>IF(A13=H18,'MAIN SHEET'!E95*K18,IF(A13=H19,'MAIN SHEET'!E95*K19,IF(A13=H20,'MAIN SHEET'!E95*(K20),0)))</f>
        <v>0</v>
      </c>
      <c r="F19" s="66">
        <f>IF(E19=0,0,E19*D19)</f>
        <v>0</v>
      </c>
      <c r="H19" s="129">
        <v>44682</v>
      </c>
      <c r="I19" s="130">
        <f>((2/12)*0.56)+((10/12)*0.565)</f>
        <v>0.56416666666666671</v>
      </c>
      <c r="J19" s="63">
        <f>2/12</f>
        <v>0.16666666666666666</v>
      </c>
      <c r="K19" s="139">
        <f t="shared" ref="K19:K20" si="0">1-J19</f>
        <v>0.83333333333333337</v>
      </c>
    </row>
    <row r="20" spans="1:11" x14ac:dyDescent="0.2">
      <c r="E20" s="114"/>
      <c r="F20" s="114"/>
      <c r="H20" s="129">
        <v>44713</v>
      </c>
      <c r="I20" s="130">
        <f>((1/12)*0.56)+((11/12)*0.565)</f>
        <v>0.56458333333333321</v>
      </c>
      <c r="J20" s="63">
        <f>1/12</f>
        <v>8.3333333333333329E-2</v>
      </c>
      <c r="K20" s="139">
        <f t="shared" si="0"/>
        <v>0.91666666666666663</v>
      </c>
    </row>
    <row r="21" spans="1:11" x14ac:dyDescent="0.2">
      <c r="A21" s="178" t="s">
        <v>85</v>
      </c>
      <c r="B21" s="179"/>
      <c r="C21" s="179"/>
      <c r="D21" s="179"/>
      <c r="E21" s="179"/>
      <c r="F21" s="180"/>
      <c r="H21" s="129">
        <v>44743</v>
      </c>
      <c r="I21" s="130">
        <v>0.56499999999999995</v>
      </c>
      <c r="J21" s="138"/>
      <c r="K21" s="63"/>
    </row>
    <row r="22" spans="1:11" x14ac:dyDescent="0.2">
      <c r="A22" s="70" t="s">
        <v>67</v>
      </c>
      <c r="B22" s="70" t="s">
        <v>68</v>
      </c>
      <c r="F22" s="68" t="s">
        <v>79</v>
      </c>
    </row>
    <row r="23" spans="1:11" x14ac:dyDescent="0.2">
      <c r="A23" s="65">
        <f>'MAIN SHEET'!F8</f>
        <v>44287</v>
      </c>
      <c r="B23" s="65">
        <f>'MAIN SHEET'!F9</f>
        <v>44651</v>
      </c>
      <c r="C23" s="177" t="s">
        <v>78</v>
      </c>
      <c r="D23" s="177"/>
      <c r="E23" s="177"/>
      <c r="F23" s="66">
        <f>'MAIN SHEET'!F93-SUBCONTRACTS!C51</f>
        <v>250000</v>
      </c>
    </row>
    <row r="24" spans="1:11" x14ac:dyDescent="0.2">
      <c r="A24" s="177" t="s">
        <v>56</v>
      </c>
      <c r="B24" s="177"/>
      <c r="C24" s="177"/>
      <c r="D24" s="177"/>
      <c r="E24" s="177"/>
      <c r="F24" s="66">
        <f>SUBCONTRACTS!C51</f>
        <v>0</v>
      </c>
    </row>
    <row r="25" spans="1:11" x14ac:dyDescent="0.2">
      <c r="A25" s="177" t="s">
        <v>80</v>
      </c>
      <c r="B25" s="177"/>
      <c r="C25" s="177"/>
      <c r="D25" s="177"/>
      <c r="E25" s="177"/>
      <c r="F25" s="66">
        <f>SUM(F23:F24)</f>
        <v>250000</v>
      </c>
    </row>
    <row r="27" spans="1:11" x14ac:dyDescent="0.2">
      <c r="C27" s="69" t="s">
        <v>81</v>
      </c>
      <c r="D27" s="69" t="s">
        <v>82</v>
      </c>
      <c r="E27" s="69" t="s">
        <v>83</v>
      </c>
      <c r="F27" s="69" t="s">
        <v>79</v>
      </c>
    </row>
    <row r="28" spans="1:11" x14ac:dyDescent="0.2">
      <c r="C28" s="64" t="s">
        <v>84</v>
      </c>
      <c r="D28" s="67">
        <f>'MAIN SHEET'!F96</f>
        <v>0.56000000000000005</v>
      </c>
      <c r="E28" s="66">
        <f>'MAIN SHEET'!F95</f>
        <v>250000</v>
      </c>
      <c r="F28" s="66">
        <f>'MAIN SHEET'!F97</f>
        <v>140000</v>
      </c>
    </row>
    <row r="29" spans="1:11" x14ac:dyDescent="0.2">
      <c r="C29" s="63"/>
      <c r="D29" s="67"/>
      <c r="E29" s="66"/>
      <c r="F29" s="66"/>
    </row>
    <row r="31" spans="1:11" x14ac:dyDescent="0.2">
      <c r="A31" s="178" t="s">
        <v>86</v>
      </c>
      <c r="B31" s="179"/>
      <c r="C31" s="179"/>
      <c r="D31" s="179"/>
      <c r="E31" s="179"/>
      <c r="F31" s="180"/>
    </row>
    <row r="32" spans="1:11" x14ac:dyDescent="0.2">
      <c r="A32" s="70" t="s">
        <v>67</v>
      </c>
      <c r="B32" s="70" t="s">
        <v>68</v>
      </c>
      <c r="F32" s="68" t="s">
        <v>79</v>
      </c>
    </row>
    <row r="33" spans="1:6" x14ac:dyDescent="0.2">
      <c r="A33" s="65">
        <f>'MAIN SHEET'!G8</f>
        <v>44652</v>
      </c>
      <c r="B33" s="65">
        <f>'MAIN SHEET'!G9</f>
        <v>45016</v>
      </c>
      <c r="C33" s="177" t="s">
        <v>78</v>
      </c>
      <c r="D33" s="177"/>
      <c r="E33" s="177"/>
      <c r="F33" s="66">
        <f>'MAIN SHEET'!G93-SUBCONTRACTS!D51</f>
        <v>250000</v>
      </c>
    </row>
    <row r="34" spans="1:6" x14ac:dyDescent="0.2">
      <c r="A34" s="177" t="s">
        <v>56</v>
      </c>
      <c r="B34" s="177"/>
      <c r="C34" s="177"/>
      <c r="D34" s="177"/>
      <c r="E34" s="177"/>
      <c r="F34" s="66">
        <f>SUBCONTRACTS!D51</f>
        <v>0</v>
      </c>
    </row>
    <row r="35" spans="1:6" x14ac:dyDescent="0.2">
      <c r="A35" s="177" t="s">
        <v>80</v>
      </c>
      <c r="B35" s="177"/>
      <c r="C35" s="177"/>
      <c r="D35" s="177"/>
      <c r="E35" s="177"/>
      <c r="F35" s="66">
        <f>SUM(F33:F34)</f>
        <v>250000</v>
      </c>
    </row>
    <row r="37" spans="1:6" x14ac:dyDescent="0.2">
      <c r="C37" s="69" t="s">
        <v>81</v>
      </c>
      <c r="D37" s="69" t="s">
        <v>82</v>
      </c>
      <c r="E37" s="69" t="s">
        <v>83</v>
      </c>
      <c r="F37" s="69" t="s">
        <v>79</v>
      </c>
    </row>
    <row r="38" spans="1:6" x14ac:dyDescent="0.2">
      <c r="C38" s="64" t="s">
        <v>84</v>
      </c>
      <c r="D38" s="67">
        <f>'MAIN SHEET'!G96</f>
        <v>0.56374999999999997</v>
      </c>
      <c r="E38" s="66">
        <f>'MAIN SHEET'!G95</f>
        <v>250000</v>
      </c>
      <c r="F38" s="66">
        <f>'MAIN SHEET'!G97</f>
        <v>140938</v>
      </c>
    </row>
    <row r="39" spans="1:6" x14ac:dyDescent="0.2">
      <c r="C39" s="63"/>
      <c r="D39" s="67"/>
      <c r="E39" s="66"/>
      <c r="F39" s="66"/>
    </row>
    <row r="41" spans="1:6" x14ac:dyDescent="0.2">
      <c r="A41" s="178" t="s">
        <v>87</v>
      </c>
      <c r="B41" s="179"/>
      <c r="C41" s="179"/>
      <c r="D41" s="179"/>
      <c r="E41" s="179"/>
      <c r="F41" s="180"/>
    </row>
    <row r="42" spans="1:6" x14ac:dyDescent="0.2">
      <c r="A42" s="70" t="s">
        <v>67</v>
      </c>
      <c r="B42" s="70" t="s">
        <v>68</v>
      </c>
      <c r="F42" s="68" t="s">
        <v>79</v>
      </c>
    </row>
    <row r="43" spans="1:6" x14ac:dyDescent="0.2">
      <c r="A43" s="65">
        <f>'MAIN SHEET'!H8</f>
        <v>45017</v>
      </c>
      <c r="B43" s="65">
        <f>'MAIN SHEET'!H9</f>
        <v>45382</v>
      </c>
      <c r="C43" s="177" t="s">
        <v>78</v>
      </c>
      <c r="D43" s="177"/>
      <c r="E43" s="177"/>
      <c r="F43" s="66">
        <f>'MAIN SHEET'!H93-SUBCONTRACTS!E51</f>
        <v>250000</v>
      </c>
    </row>
    <row r="44" spans="1:6" x14ac:dyDescent="0.2">
      <c r="A44" s="177" t="s">
        <v>56</v>
      </c>
      <c r="B44" s="177"/>
      <c r="C44" s="177"/>
      <c r="D44" s="177"/>
      <c r="E44" s="177"/>
      <c r="F44" s="66">
        <f>SUBCONTRACTS!E51</f>
        <v>0</v>
      </c>
    </row>
    <row r="45" spans="1:6" x14ac:dyDescent="0.2">
      <c r="A45" s="177" t="s">
        <v>80</v>
      </c>
      <c r="B45" s="177"/>
      <c r="C45" s="177"/>
      <c r="D45" s="177"/>
      <c r="E45" s="177"/>
      <c r="F45" s="66">
        <f>SUM(F43:F44)</f>
        <v>250000</v>
      </c>
    </row>
    <row r="47" spans="1:6" x14ac:dyDescent="0.2">
      <c r="C47" s="69" t="s">
        <v>81</v>
      </c>
      <c r="D47" s="69" t="s">
        <v>82</v>
      </c>
      <c r="E47" s="69" t="s">
        <v>83</v>
      </c>
      <c r="F47" s="69" t="s">
        <v>79</v>
      </c>
    </row>
    <row r="48" spans="1:6" x14ac:dyDescent="0.2">
      <c r="C48" s="64" t="s">
        <v>84</v>
      </c>
      <c r="D48" s="67">
        <f>'MAIN SHEET'!H96</f>
        <v>0.56499999999999995</v>
      </c>
      <c r="E48" s="66">
        <f>'MAIN SHEET'!H95</f>
        <v>250000</v>
      </c>
      <c r="F48" s="66">
        <f>'MAIN SHEET'!H97</f>
        <v>141250</v>
      </c>
    </row>
    <row r="49" spans="1:6" x14ac:dyDescent="0.2">
      <c r="C49" s="63"/>
      <c r="D49" s="67"/>
      <c r="E49" s="66"/>
      <c r="F49" s="66"/>
    </row>
    <row r="51" spans="1:6" x14ac:dyDescent="0.2">
      <c r="A51" s="178" t="s">
        <v>88</v>
      </c>
      <c r="B51" s="179"/>
      <c r="C51" s="179"/>
      <c r="D51" s="179"/>
      <c r="E51" s="179"/>
      <c r="F51" s="180"/>
    </row>
    <row r="52" spans="1:6" x14ac:dyDescent="0.2">
      <c r="A52" s="70" t="s">
        <v>67</v>
      </c>
      <c r="B52" s="70" t="s">
        <v>68</v>
      </c>
      <c r="F52" s="68" t="s">
        <v>79</v>
      </c>
    </row>
    <row r="53" spans="1:6" x14ac:dyDescent="0.2">
      <c r="A53" s="65">
        <f>'MAIN SHEET'!I8</f>
        <v>45383</v>
      </c>
      <c r="B53" s="65">
        <f>'MAIN SHEET'!I9</f>
        <v>45747</v>
      </c>
      <c r="C53" s="177" t="s">
        <v>78</v>
      </c>
      <c r="D53" s="177"/>
      <c r="E53" s="177"/>
      <c r="F53" s="66">
        <f>'MAIN SHEET'!I93-SUBCONTRACTS!F51</f>
        <v>250000</v>
      </c>
    </row>
    <row r="54" spans="1:6" x14ac:dyDescent="0.2">
      <c r="A54" s="177" t="s">
        <v>56</v>
      </c>
      <c r="B54" s="177"/>
      <c r="C54" s="177"/>
      <c r="D54" s="177"/>
      <c r="E54" s="177"/>
      <c r="F54" s="66">
        <f>SUBCONTRACTS!F51</f>
        <v>0</v>
      </c>
    </row>
    <row r="55" spans="1:6" x14ac:dyDescent="0.2">
      <c r="A55" s="177" t="s">
        <v>80</v>
      </c>
      <c r="B55" s="177"/>
      <c r="C55" s="177"/>
      <c r="D55" s="177"/>
      <c r="E55" s="177"/>
      <c r="F55" s="66">
        <f>SUM(F53:F54)</f>
        <v>250000</v>
      </c>
    </row>
    <row r="57" spans="1:6" x14ac:dyDescent="0.2">
      <c r="C57" s="69" t="s">
        <v>81</v>
      </c>
      <c r="D57" s="69" t="s">
        <v>82</v>
      </c>
      <c r="E57" s="69" t="s">
        <v>83</v>
      </c>
      <c r="F57" s="69" t="s">
        <v>79</v>
      </c>
    </row>
    <row r="58" spans="1:6" x14ac:dyDescent="0.2">
      <c r="C58" s="64" t="s">
        <v>84</v>
      </c>
      <c r="D58" s="67">
        <f>'MAIN SHEET'!I96</f>
        <v>0.56499999999999995</v>
      </c>
      <c r="E58" s="66">
        <f>'MAIN SHEET'!I95</f>
        <v>250000</v>
      </c>
      <c r="F58" s="66">
        <f>'MAIN SHEET'!I97</f>
        <v>141250</v>
      </c>
    </row>
    <row r="59" spans="1:6" x14ac:dyDescent="0.2">
      <c r="C59" s="63"/>
      <c r="D59" s="67"/>
      <c r="E59" s="66"/>
      <c r="F59" s="66"/>
    </row>
    <row r="61" spans="1:6" x14ac:dyDescent="0.2">
      <c r="A61" s="178" t="s">
        <v>89</v>
      </c>
      <c r="B61" s="179"/>
      <c r="C61" s="179"/>
      <c r="D61" s="179"/>
      <c r="E61" s="179"/>
      <c r="F61" s="180"/>
    </row>
    <row r="62" spans="1:6" x14ac:dyDescent="0.2">
      <c r="A62" s="184" t="s">
        <v>90</v>
      </c>
      <c r="B62" s="184"/>
      <c r="C62" s="184"/>
      <c r="D62" s="184"/>
      <c r="E62" s="184"/>
      <c r="F62" s="66">
        <f>'MAIN SHEET'!K93-SUBCONTRACTS!H51</f>
        <v>1250000</v>
      </c>
    </row>
    <row r="63" spans="1:6" x14ac:dyDescent="0.2">
      <c r="A63" s="184" t="s">
        <v>91</v>
      </c>
      <c r="B63" s="184"/>
      <c r="C63" s="184"/>
      <c r="D63" s="184"/>
      <c r="E63" s="184"/>
      <c r="F63" s="66">
        <f>SUBCONTRACTS!H51</f>
        <v>0</v>
      </c>
    </row>
    <row r="64" spans="1:6" x14ac:dyDescent="0.2">
      <c r="A64" s="184" t="s">
        <v>92</v>
      </c>
      <c r="B64" s="184"/>
      <c r="C64" s="184"/>
      <c r="D64" s="184"/>
      <c r="E64" s="184"/>
      <c r="F64" s="66">
        <f>'MAIN SHEET'!K93</f>
        <v>1250000</v>
      </c>
    </row>
    <row r="65" spans="1:6" x14ac:dyDescent="0.2">
      <c r="A65" s="184" t="s">
        <v>93</v>
      </c>
      <c r="B65" s="184"/>
      <c r="C65" s="184"/>
      <c r="D65" s="184"/>
      <c r="E65" s="184"/>
      <c r="F65" s="66">
        <f>'MAIN SHEET'!K97</f>
        <v>703438</v>
      </c>
    </row>
    <row r="66" spans="1:6" x14ac:dyDescent="0.2">
      <c r="A66" s="184" t="s">
        <v>94</v>
      </c>
      <c r="B66" s="184"/>
      <c r="C66" s="184"/>
      <c r="D66" s="184"/>
      <c r="E66" s="184"/>
      <c r="F66" s="66">
        <f>'MAIN SHEET'!K99</f>
        <v>1953438</v>
      </c>
    </row>
  </sheetData>
  <mergeCells count="37">
    <mergeCell ref="H17:K17"/>
    <mergeCell ref="A64:E64"/>
    <mergeCell ref="A65:E65"/>
    <mergeCell ref="A66:E66"/>
    <mergeCell ref="A4:F4"/>
    <mergeCell ref="A5:C5"/>
    <mergeCell ref="A6:C6"/>
    <mergeCell ref="A7:C7"/>
    <mergeCell ref="A8:C8"/>
    <mergeCell ref="D5:F5"/>
    <mergeCell ref="D6:F6"/>
    <mergeCell ref="A55:E55"/>
    <mergeCell ref="A61:F61"/>
    <mergeCell ref="A62:E62"/>
    <mergeCell ref="A63:E63"/>
    <mergeCell ref="A45:E45"/>
    <mergeCell ref="A51:F51"/>
    <mergeCell ref="C53:E53"/>
    <mergeCell ref="A54:E54"/>
    <mergeCell ref="A35:E35"/>
    <mergeCell ref="A41:F41"/>
    <mergeCell ref="C43:E43"/>
    <mergeCell ref="A44:E44"/>
    <mergeCell ref="A25:E25"/>
    <mergeCell ref="A31:F31"/>
    <mergeCell ref="C33:E33"/>
    <mergeCell ref="A34:E34"/>
    <mergeCell ref="A15:E15"/>
    <mergeCell ref="A21:F21"/>
    <mergeCell ref="C23:E23"/>
    <mergeCell ref="A24:E24"/>
    <mergeCell ref="A2:S2"/>
    <mergeCell ref="C13:E13"/>
    <mergeCell ref="A11:F11"/>
    <mergeCell ref="A14:E14"/>
    <mergeCell ref="D7:F7"/>
    <mergeCell ref="D8:F8"/>
  </mergeCells>
  <phoneticPr fontId="2" type="noConversion"/>
  <pageMargins left="0.25" right="0.25" top="0.25" bottom="0.25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2:J28"/>
  <sheetViews>
    <sheetView workbookViewId="0">
      <selection activeCell="D28" sqref="D28"/>
    </sheetView>
  </sheetViews>
  <sheetFormatPr defaultRowHeight="12.75" x14ac:dyDescent="0.2"/>
  <cols>
    <col min="1" max="1" width="28.85546875" bestFit="1" customWidth="1"/>
    <col min="2" max="7" width="12.7109375" customWidth="1"/>
  </cols>
  <sheetData>
    <row r="2" spans="1:7" ht="15" x14ac:dyDescent="0.25">
      <c r="A2" s="187" t="s">
        <v>170</v>
      </c>
      <c r="B2" s="187"/>
      <c r="C2" s="187"/>
      <c r="D2" s="187"/>
      <c r="E2" s="187"/>
      <c r="F2" s="187"/>
      <c r="G2" s="187"/>
    </row>
    <row r="3" spans="1:7" ht="15" x14ac:dyDescent="0.25">
      <c r="A3" s="187"/>
      <c r="B3" s="187"/>
      <c r="C3" s="187"/>
      <c r="D3" s="187"/>
      <c r="E3" s="187"/>
      <c r="F3" s="187"/>
      <c r="G3" s="187"/>
    </row>
    <row r="4" spans="1:7" ht="14.25" x14ac:dyDescent="0.2">
      <c r="A4" s="188" t="s">
        <v>171</v>
      </c>
      <c r="B4" s="188"/>
      <c r="C4" s="188"/>
      <c r="D4" s="188"/>
      <c r="E4" s="188"/>
      <c r="F4" s="188"/>
      <c r="G4" s="188"/>
    </row>
    <row r="5" spans="1:7" ht="15" x14ac:dyDescent="0.25">
      <c r="A5" s="118"/>
      <c r="B5" s="119" t="s">
        <v>4</v>
      </c>
      <c r="C5" s="119" t="s">
        <v>5</v>
      </c>
      <c r="D5" s="119" t="s">
        <v>6</v>
      </c>
      <c r="E5" s="119" t="s">
        <v>7</v>
      </c>
      <c r="F5" s="119" t="s">
        <v>8</v>
      </c>
      <c r="G5" s="119" t="s">
        <v>172</v>
      </c>
    </row>
    <row r="6" spans="1:7" ht="15" x14ac:dyDescent="0.25">
      <c r="A6" s="120" t="s">
        <v>173</v>
      </c>
      <c r="B6" s="121">
        <f>'MAIN SHEET'!E41</f>
        <v>0</v>
      </c>
      <c r="C6" s="121">
        <f>'MAIN SHEET'!F41</f>
        <v>0</v>
      </c>
      <c r="D6" s="121">
        <f>'MAIN SHEET'!G41</f>
        <v>0</v>
      </c>
      <c r="E6" s="121">
        <f>'MAIN SHEET'!H41</f>
        <v>0</v>
      </c>
      <c r="F6" s="121">
        <f>'MAIN SHEET'!I41</f>
        <v>0</v>
      </c>
      <c r="G6" s="122">
        <f t="shared" ref="G6:G12" si="0">SUM(B6:F6)</f>
        <v>0</v>
      </c>
    </row>
    <row r="7" spans="1:7" ht="15" x14ac:dyDescent="0.25">
      <c r="A7" s="120" t="s">
        <v>41</v>
      </c>
      <c r="B7" s="121">
        <f>'MAIN SHEET'!E54</f>
        <v>0</v>
      </c>
      <c r="C7" s="121">
        <f>'MAIN SHEET'!F54</f>
        <v>0</v>
      </c>
      <c r="D7" s="121">
        <f>'MAIN SHEET'!G54</f>
        <v>0</v>
      </c>
      <c r="E7" s="121">
        <f>'MAIN SHEET'!H54</f>
        <v>0</v>
      </c>
      <c r="F7" s="121">
        <f>'MAIN SHEET'!I54</f>
        <v>0</v>
      </c>
      <c r="G7" s="122">
        <f t="shared" si="0"/>
        <v>0</v>
      </c>
    </row>
    <row r="8" spans="1:7" ht="15" x14ac:dyDescent="0.25">
      <c r="A8" s="120" t="s">
        <v>174</v>
      </c>
      <c r="B8" s="121">
        <f>'MAIN SHEET'!E58</f>
        <v>0</v>
      </c>
      <c r="C8" s="121">
        <f>'MAIN SHEET'!F58</f>
        <v>0</v>
      </c>
      <c r="D8" s="121">
        <f>'MAIN SHEET'!G58</f>
        <v>0</v>
      </c>
      <c r="E8" s="121">
        <f>'MAIN SHEET'!H58</f>
        <v>0</v>
      </c>
      <c r="F8" s="121">
        <f>'MAIN SHEET'!I58</f>
        <v>0</v>
      </c>
      <c r="G8" s="122">
        <f t="shared" si="0"/>
        <v>0</v>
      </c>
    </row>
    <row r="9" spans="1:7" ht="15" x14ac:dyDescent="0.25">
      <c r="A9" s="120" t="s">
        <v>175</v>
      </c>
      <c r="B9" s="121">
        <f>'MAIN SHEET'!E50</f>
        <v>0</v>
      </c>
      <c r="C9" s="121">
        <f>'MAIN SHEET'!F50</f>
        <v>0</v>
      </c>
      <c r="D9" s="121">
        <f>'MAIN SHEET'!G50</f>
        <v>0</v>
      </c>
      <c r="E9" s="121">
        <f>'MAIN SHEET'!H50</f>
        <v>0</v>
      </c>
      <c r="F9" s="121">
        <f>'MAIN SHEET'!I50</f>
        <v>0</v>
      </c>
      <c r="G9" s="122">
        <f t="shared" si="0"/>
        <v>0</v>
      </c>
    </row>
    <row r="10" spans="1:7" ht="15" x14ac:dyDescent="0.25">
      <c r="A10" s="120" t="s">
        <v>176</v>
      </c>
      <c r="B10" s="121">
        <f>SUBCONTRACTS!B49</f>
        <v>0</v>
      </c>
      <c r="C10" s="121">
        <f>SUBCONTRACTS!C49</f>
        <v>0</v>
      </c>
      <c r="D10" s="121">
        <f>SUBCONTRACTS!D49</f>
        <v>0</v>
      </c>
      <c r="E10" s="121">
        <f>SUBCONTRACTS!E49</f>
        <v>0</v>
      </c>
      <c r="F10" s="121">
        <f>SUBCONTRACTS!F49</f>
        <v>0</v>
      </c>
      <c r="G10" s="122">
        <f t="shared" si="0"/>
        <v>0</v>
      </c>
    </row>
    <row r="11" spans="1:7" ht="15" x14ac:dyDescent="0.25">
      <c r="A11" s="120" t="s">
        <v>23</v>
      </c>
      <c r="B11" s="121">
        <f>'MAIN SHEET'!E74</f>
        <v>0</v>
      </c>
      <c r="C11" s="121">
        <f>'MAIN SHEET'!F74</f>
        <v>0</v>
      </c>
      <c r="D11" s="121">
        <f>'MAIN SHEET'!G74</f>
        <v>0</v>
      </c>
      <c r="E11" s="121">
        <f>'MAIN SHEET'!H74</f>
        <v>0</v>
      </c>
      <c r="F11" s="121">
        <f>'MAIN SHEET'!I74</f>
        <v>0</v>
      </c>
      <c r="G11" s="122">
        <f t="shared" si="0"/>
        <v>0</v>
      </c>
    </row>
    <row r="12" spans="1:7" ht="15" x14ac:dyDescent="0.25">
      <c r="A12" s="123" t="s">
        <v>49</v>
      </c>
      <c r="B12" s="122">
        <f>SUM(B6:B11)</f>
        <v>0</v>
      </c>
      <c r="C12" s="122">
        <f>SUM(C6:C11)</f>
        <v>0</v>
      </c>
      <c r="D12" s="122">
        <f>SUM(D6:D11)</f>
        <v>0</v>
      </c>
      <c r="E12" s="122">
        <f>SUM(E6:E11)</f>
        <v>0</v>
      </c>
      <c r="F12" s="122">
        <f>SUM(F6:F11)</f>
        <v>0</v>
      </c>
      <c r="G12" s="122">
        <f t="shared" si="0"/>
        <v>0</v>
      </c>
    </row>
    <row r="13" spans="1:7" ht="14.25" x14ac:dyDescent="0.2">
      <c r="A13" s="118"/>
      <c r="B13" s="118"/>
      <c r="C13" s="118"/>
      <c r="D13" s="118"/>
      <c r="E13" s="118"/>
      <c r="F13" s="118"/>
      <c r="G13" s="118"/>
    </row>
    <row r="15" spans="1:7" ht="14.25" x14ac:dyDescent="0.2">
      <c r="A15" s="118"/>
      <c r="B15" s="118"/>
      <c r="C15" s="118"/>
      <c r="D15" s="118"/>
      <c r="E15" s="118"/>
      <c r="F15" s="118"/>
      <c r="G15" s="118"/>
    </row>
    <row r="16" spans="1:7" ht="14.25" x14ac:dyDescent="0.2">
      <c r="A16" s="118"/>
      <c r="B16" s="118"/>
      <c r="C16" s="118"/>
      <c r="D16" s="118"/>
      <c r="E16" s="118"/>
      <c r="F16" s="118"/>
      <c r="G16" s="118"/>
    </row>
    <row r="17" spans="1:10" ht="15" x14ac:dyDescent="0.25">
      <c r="A17" s="124" t="s">
        <v>177</v>
      </c>
      <c r="B17" s="118"/>
      <c r="C17" s="118"/>
      <c r="D17" s="118"/>
      <c r="E17" s="118"/>
      <c r="F17" s="118"/>
      <c r="G17" s="118"/>
      <c r="J17" s="125" t="s">
        <v>189</v>
      </c>
    </row>
    <row r="18" spans="1:10" ht="15" x14ac:dyDescent="0.25">
      <c r="A18" s="118" t="s">
        <v>188</v>
      </c>
      <c r="B18" s="118"/>
      <c r="C18" s="118"/>
      <c r="D18" s="118"/>
      <c r="E18" s="118"/>
      <c r="F18" s="118"/>
      <c r="G18" s="118"/>
    </row>
    <row r="19" spans="1:10" ht="14.25" x14ac:dyDescent="0.2">
      <c r="A19" s="118" t="s">
        <v>178</v>
      </c>
      <c r="B19" s="118"/>
      <c r="C19" s="118"/>
      <c r="D19" s="118"/>
      <c r="E19" s="118"/>
      <c r="F19" s="118"/>
      <c r="G19" s="118"/>
    </row>
    <row r="20" spans="1:10" ht="15" x14ac:dyDescent="0.25">
      <c r="A20" s="118" t="s">
        <v>182</v>
      </c>
      <c r="B20" s="118"/>
      <c r="C20" s="118"/>
      <c r="D20" s="118"/>
      <c r="E20" s="118"/>
      <c r="F20" s="118"/>
      <c r="G20" s="118"/>
    </row>
    <row r="21" spans="1:10" ht="14.25" x14ac:dyDescent="0.2">
      <c r="A21" s="118" t="s">
        <v>183</v>
      </c>
      <c r="B21" s="118"/>
      <c r="C21" s="118"/>
      <c r="D21" s="118"/>
      <c r="E21" s="118"/>
      <c r="F21" s="118"/>
      <c r="G21" s="118"/>
    </row>
    <row r="22" spans="1:10" ht="15" x14ac:dyDescent="0.25">
      <c r="A22" s="118" t="s">
        <v>184</v>
      </c>
      <c r="B22" s="118"/>
      <c r="C22" s="118"/>
      <c r="D22" s="118"/>
      <c r="E22" s="118"/>
      <c r="F22" s="118"/>
      <c r="G22" s="118"/>
    </row>
    <row r="23" spans="1:10" ht="14.25" x14ac:dyDescent="0.2">
      <c r="A23" s="118" t="s">
        <v>185</v>
      </c>
      <c r="B23" s="118"/>
      <c r="C23" s="118"/>
      <c r="D23" s="118"/>
      <c r="E23" s="118"/>
      <c r="F23" s="118"/>
      <c r="G23" s="118"/>
    </row>
    <row r="24" spans="1:10" ht="14.25" x14ac:dyDescent="0.2">
      <c r="B24" s="118"/>
      <c r="C24" s="118"/>
      <c r="D24" s="118"/>
      <c r="E24" s="118"/>
      <c r="F24" s="118"/>
      <c r="G24" s="118"/>
    </row>
    <row r="25" spans="1:10" ht="15" x14ac:dyDescent="0.25">
      <c r="A25" s="124" t="s">
        <v>179</v>
      </c>
      <c r="B25" s="118"/>
      <c r="C25" s="118"/>
      <c r="D25" s="118"/>
      <c r="E25" s="118"/>
      <c r="F25" s="118"/>
      <c r="G25" s="118"/>
    </row>
    <row r="26" spans="1:10" ht="15" x14ac:dyDescent="0.25">
      <c r="A26" s="118" t="s">
        <v>188</v>
      </c>
      <c r="B26" s="118"/>
      <c r="C26" s="118"/>
      <c r="D26" s="118"/>
      <c r="E26" s="118"/>
      <c r="F26" s="118"/>
      <c r="G26" s="118"/>
    </row>
    <row r="27" spans="1:10" ht="14.25" x14ac:dyDescent="0.2">
      <c r="A27" s="118" t="s">
        <v>186</v>
      </c>
      <c r="B27" s="118"/>
      <c r="C27" s="118"/>
      <c r="D27" s="118"/>
      <c r="E27" s="118"/>
      <c r="F27" s="118"/>
      <c r="G27" s="118"/>
    </row>
    <row r="28" spans="1:10" ht="14.25" x14ac:dyDescent="0.2">
      <c r="A28" s="118" t="s">
        <v>187</v>
      </c>
    </row>
  </sheetData>
  <mergeCells count="3">
    <mergeCell ref="A2:G2"/>
    <mergeCell ref="A3:G3"/>
    <mergeCell ref="A4:G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Button 3">
              <controlPr defaultSize="0" print="0" autoFill="0" autoPict="0" macro="[0]!HighlightCells">
                <anchor moveWithCells="1" sizeWithCells="1">
                  <from>
                    <xdr:col>0</xdr:col>
                    <xdr:colOff>28575</xdr:colOff>
                    <xdr:row>13</xdr:row>
                    <xdr:rowOff>0</xdr:rowOff>
                  </from>
                  <to>
                    <xdr:col>3</xdr:col>
                    <xdr:colOff>838200</xdr:colOff>
                    <xdr:row>14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Q47"/>
  <sheetViews>
    <sheetView workbookViewId="0">
      <selection activeCell="B30" sqref="B30"/>
    </sheetView>
  </sheetViews>
  <sheetFormatPr defaultRowHeight="11.25" x14ac:dyDescent="0.2"/>
  <cols>
    <col min="1" max="1" width="51.85546875" style="21" customWidth="1"/>
    <col min="2" max="2" width="10.140625" style="21" bestFit="1" customWidth="1"/>
    <col min="3" max="3" width="2.42578125" style="21" customWidth="1"/>
    <col min="4" max="4" width="24.140625" style="21" customWidth="1"/>
    <col min="5" max="5" width="14.140625" style="21" customWidth="1"/>
    <col min="6" max="6" width="15.7109375" style="21" customWidth="1"/>
    <col min="7" max="16384" width="9.140625" style="21"/>
  </cols>
  <sheetData>
    <row r="2" spans="1:17" ht="15.75" x14ac:dyDescent="0.25">
      <c r="A2" s="145" t="s">
        <v>102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4" spans="1:17" ht="12" x14ac:dyDescent="0.2">
      <c r="A4" s="192" t="s">
        <v>103</v>
      </c>
      <c r="B4" s="193"/>
      <c r="C4" s="193"/>
      <c r="D4" s="193"/>
      <c r="E4" s="193"/>
      <c r="F4" s="193"/>
    </row>
    <row r="5" spans="1:17" ht="12" x14ac:dyDescent="0.2">
      <c r="A5" s="3" t="str">
        <f>TEXT('MAIN SHEET'!B5, "mm/dd/yyyy")&amp;" - "&amp;TEXT('MAIN SHEET'!B6, "mm/dd/yyyy")</f>
        <v>04/01/2020 - 03/31/2025</v>
      </c>
      <c r="B5" s="3"/>
      <c r="C5" s="3"/>
      <c r="D5" s="3"/>
      <c r="E5" s="3"/>
    </row>
    <row r="7" spans="1:17" s="22" customFormat="1" ht="12" x14ac:dyDescent="0.2">
      <c r="A7" s="49" t="s">
        <v>104</v>
      </c>
      <c r="B7" s="49"/>
      <c r="C7" s="76"/>
      <c r="D7" s="190" t="s">
        <v>105</v>
      </c>
      <c r="E7" s="191"/>
      <c r="F7" s="77" t="s">
        <v>53</v>
      </c>
      <c r="G7" s="5"/>
      <c r="H7" s="5"/>
      <c r="I7" s="5"/>
    </row>
    <row r="8" spans="1:17" ht="12" x14ac:dyDescent="0.2">
      <c r="A8" s="8" t="s">
        <v>32</v>
      </c>
      <c r="B8" s="72">
        <f>'MAIN SHEET'!K21</f>
        <v>0</v>
      </c>
      <c r="C8" s="3"/>
      <c r="D8" s="73" t="s">
        <v>32</v>
      </c>
      <c r="E8" s="74">
        <f>'MAIN SHEET'!U21</f>
        <v>0</v>
      </c>
      <c r="F8" s="60" t="str">
        <f>IF(ISBLANK('MAIN SHEET'!V11),"",CONCATENATE('MAIN SHEET'!V11&amp;" ("&amp;'MAIN SHEET'!N11&amp;") ")
&amp;IF(ISBLANK('MAIN SHEET'!V12),"",CONCATENATE(", "&amp;'MAIN SHEET'!V12&amp;" ("&amp;'MAIN SHEET'!N12&amp;") "))
&amp;IF(ISBLANK('MAIN SHEET'!V13),"",CONCATENATE(", "&amp;'MAIN SHEET'!V13&amp;" ("&amp;'MAIN SHEET'!N13&amp;") "))
&amp;IF(ISBLANK('MAIN SHEET'!V14),"",CONCATENATE(", "&amp;'MAIN SHEET'!V14&amp;" ("&amp;'MAIN SHEET'!N14&amp;") "))
&amp;IF(ISBLANK('MAIN SHEET'!V15),"",CONCATENATE(", "&amp;'MAIN SHEET'!V15&amp;" ("&amp;'MAIN SHEET'!N15&amp;") "))
&amp;IF(ISBLANK('MAIN SHEET'!V16),"",CONCATENATE(", "&amp;'MAIN SHEET'!V16&amp;" ("&amp;'MAIN SHEET'!N16&amp;") "))
&amp;IF(ISBLANK('MAIN SHEET'!V17),"",CONCATENATE(", "&amp;'MAIN SHEET'!V17&amp;" ("&amp;'MAIN SHEET'!N17&amp;") "))
&amp;IF(ISBLANK('MAIN SHEET'!V18),"",CONCATENATE(", "&amp;'MAIN SHEET'!V18&amp;" ("&amp;'MAIN SHEET'!N18&amp;") "))
&amp;IF(ISBLANK('MAIN SHEET'!V19),"",CONCATENATE(", "&amp;'MAIN SHEET'!V19&amp;" ("&amp;'MAIN SHEET'!N19&amp;") "))
&amp;IF(ISBLANK('MAIN SHEET'!V20),"",CONCATENATE(", "&amp;'MAIN SHEET'!V20&amp;" ("&amp;'MAIN SHEET'!N20&amp;") "))
)</f>
        <v/>
      </c>
      <c r="G8" s="3"/>
      <c r="H8" s="3"/>
      <c r="I8" s="3"/>
    </row>
    <row r="9" spans="1:17" ht="12" x14ac:dyDescent="0.2">
      <c r="A9" s="73" t="s">
        <v>14</v>
      </c>
      <c r="B9" s="75">
        <f>'MAIN SHEET'!K33</f>
        <v>0</v>
      </c>
      <c r="C9" s="3"/>
      <c r="D9" s="73" t="s">
        <v>14</v>
      </c>
      <c r="E9" s="74">
        <f>'MAIN SHEET'!U33</f>
        <v>0</v>
      </c>
      <c r="F9" s="60" t="str">
        <f>F8</f>
        <v/>
      </c>
      <c r="G9" s="3"/>
      <c r="H9" s="3"/>
      <c r="I9" s="3"/>
    </row>
    <row r="10" spans="1:17" ht="12" x14ac:dyDescent="0.2">
      <c r="A10" s="8" t="s">
        <v>40</v>
      </c>
      <c r="B10" s="72">
        <f>'MAIN SHEET'!K41</f>
        <v>0</v>
      </c>
      <c r="C10" s="3"/>
      <c r="D10" s="8" t="s">
        <v>40</v>
      </c>
      <c r="E10" s="74"/>
      <c r="F10" s="43"/>
      <c r="G10" s="3"/>
      <c r="H10" s="3"/>
      <c r="I10" s="3"/>
    </row>
    <row r="11" spans="1:17" ht="12" x14ac:dyDescent="0.2">
      <c r="A11" s="8" t="s">
        <v>41</v>
      </c>
      <c r="B11" s="72">
        <f>'MAIN SHEET'!K54</f>
        <v>0</v>
      </c>
      <c r="C11" s="3"/>
      <c r="D11" s="8" t="s">
        <v>41</v>
      </c>
      <c r="E11" s="74"/>
      <c r="F11" s="43"/>
      <c r="G11" s="3"/>
      <c r="H11" s="3"/>
      <c r="I11" s="3"/>
    </row>
    <row r="12" spans="1:17" ht="12" x14ac:dyDescent="0.2">
      <c r="A12" s="8" t="s">
        <v>20</v>
      </c>
      <c r="B12" s="72">
        <f>'MAIN SHEET'!K65</f>
        <v>0</v>
      </c>
      <c r="C12" s="3"/>
      <c r="D12" s="8" t="s">
        <v>20</v>
      </c>
      <c r="E12" s="74"/>
      <c r="F12" s="43"/>
      <c r="G12" s="3"/>
      <c r="H12" s="3"/>
      <c r="I12" s="3"/>
    </row>
    <row r="13" spans="1:17" ht="12" x14ac:dyDescent="0.2">
      <c r="A13" s="8" t="s">
        <v>33</v>
      </c>
      <c r="B13" s="72">
        <f>SUM('MAIN SHEET'!K44,'MAIN SHEET'!K50,'MAIN SHEET'!K58,'MAIN SHEET'!K80)</f>
        <v>1250000</v>
      </c>
      <c r="C13" s="3"/>
      <c r="D13" s="8" t="s">
        <v>33</v>
      </c>
      <c r="E13" s="74"/>
      <c r="F13" s="43"/>
      <c r="G13" s="3"/>
      <c r="H13" s="3"/>
      <c r="I13" s="3"/>
    </row>
    <row r="14" spans="1:17" ht="12" x14ac:dyDescent="0.2">
      <c r="A14" s="8" t="s">
        <v>22</v>
      </c>
      <c r="B14" s="72">
        <f>'MAIN SHEET'!K71</f>
        <v>0</v>
      </c>
      <c r="C14" s="3"/>
      <c r="D14" s="8" t="s">
        <v>22</v>
      </c>
      <c r="E14" s="74"/>
      <c r="F14" s="43"/>
      <c r="G14" s="3"/>
      <c r="H14" s="3"/>
      <c r="I14" s="3"/>
    </row>
    <row r="15" spans="1:17" ht="12" x14ac:dyDescent="0.2">
      <c r="A15" s="8" t="s">
        <v>23</v>
      </c>
      <c r="B15" s="72">
        <f>'MAIN SHEET'!K74</f>
        <v>0</v>
      </c>
      <c r="C15" s="3"/>
      <c r="D15" s="8" t="s">
        <v>23</v>
      </c>
      <c r="E15" s="74"/>
      <c r="F15" s="43"/>
      <c r="G15" s="3"/>
      <c r="H15" s="3"/>
      <c r="I15" s="3"/>
    </row>
    <row r="16" spans="1:17" ht="12" x14ac:dyDescent="0.2">
      <c r="A16" s="38" t="s">
        <v>34</v>
      </c>
      <c r="B16" s="39">
        <f>SUM(B8:B15)</f>
        <v>1250000</v>
      </c>
      <c r="C16" s="3"/>
      <c r="D16" s="38" t="s">
        <v>34</v>
      </c>
      <c r="E16" s="78">
        <f>SUM(E8:E15)</f>
        <v>0</v>
      </c>
      <c r="F16" s="18"/>
      <c r="G16" s="3"/>
      <c r="H16" s="3"/>
      <c r="I16" s="3"/>
    </row>
    <row r="17" spans="1:11" ht="12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11" ht="12" x14ac:dyDescent="0.2">
      <c r="A18" s="49" t="s">
        <v>106</v>
      </c>
      <c r="B18" s="49"/>
      <c r="C18" s="3"/>
      <c r="D18" s="3"/>
      <c r="E18" s="3"/>
      <c r="F18" s="3"/>
      <c r="G18" s="3"/>
      <c r="H18" s="3"/>
      <c r="I18" s="3"/>
    </row>
    <row r="19" spans="1:11" ht="12" x14ac:dyDescent="0.2">
      <c r="A19" s="8" t="s">
        <v>42</v>
      </c>
      <c r="B19" s="72">
        <f>B10</f>
        <v>0</v>
      </c>
      <c r="C19" s="3"/>
      <c r="D19" s="3"/>
      <c r="E19" s="3"/>
      <c r="F19" s="3"/>
      <c r="G19" s="3"/>
      <c r="H19" s="3"/>
      <c r="I19" s="3"/>
    </row>
    <row r="20" spans="1:11" ht="12" x14ac:dyDescent="0.2">
      <c r="A20" s="8" t="s">
        <v>43</v>
      </c>
      <c r="B20" s="72">
        <f>B11</f>
        <v>0</v>
      </c>
      <c r="C20" s="3"/>
      <c r="D20" s="3"/>
      <c r="E20" s="3"/>
      <c r="F20" s="3"/>
      <c r="G20" s="3"/>
      <c r="H20" s="3"/>
      <c r="I20" s="3"/>
    </row>
    <row r="21" spans="1:11" ht="12" x14ac:dyDescent="0.2">
      <c r="A21" s="8" t="s">
        <v>44</v>
      </c>
      <c r="B21" s="72">
        <f>'MAIN SHEET'!K58</f>
        <v>0</v>
      </c>
      <c r="C21" s="3"/>
      <c r="D21" s="3"/>
      <c r="E21" s="3"/>
      <c r="F21" s="3"/>
      <c r="G21" s="3"/>
      <c r="H21" s="3"/>
      <c r="I21" s="3"/>
    </row>
    <row r="22" spans="1:11" ht="12" x14ac:dyDescent="0.2">
      <c r="A22" s="8" t="s">
        <v>45</v>
      </c>
      <c r="B22" s="72">
        <f>'MAIN SHEET'!K50</f>
        <v>0</v>
      </c>
      <c r="C22" s="3"/>
      <c r="D22" s="3"/>
      <c r="E22" s="3"/>
      <c r="F22" s="3"/>
      <c r="G22" s="3"/>
      <c r="H22" s="3"/>
      <c r="I22" s="3"/>
    </row>
    <row r="23" spans="1:11" ht="12" x14ac:dyDescent="0.2">
      <c r="A23" s="8" t="s">
        <v>46</v>
      </c>
      <c r="B23" s="72">
        <f>SUBCONTRACTS!H49</f>
        <v>0</v>
      </c>
      <c r="C23" s="3"/>
      <c r="D23" s="3"/>
      <c r="E23" s="3"/>
      <c r="F23" s="3"/>
      <c r="G23" s="3"/>
      <c r="H23" s="3"/>
      <c r="I23" s="3"/>
    </row>
    <row r="24" spans="1:11" ht="12" x14ac:dyDescent="0.2">
      <c r="A24" s="8" t="s">
        <v>47</v>
      </c>
      <c r="B24" s="72">
        <f>B15</f>
        <v>0</v>
      </c>
      <c r="C24" s="3"/>
      <c r="D24" s="3"/>
      <c r="E24" s="3"/>
      <c r="F24" s="3"/>
      <c r="G24" s="3"/>
      <c r="H24" s="3"/>
      <c r="I24" s="3"/>
    </row>
    <row r="25" spans="1:11" ht="12" x14ac:dyDescent="0.2">
      <c r="A25" s="8" t="s">
        <v>48</v>
      </c>
      <c r="B25" s="72"/>
      <c r="C25" s="3"/>
      <c r="D25" s="3"/>
      <c r="E25" s="3"/>
      <c r="F25" s="3"/>
      <c r="G25" s="3"/>
      <c r="H25" s="3"/>
      <c r="I25" s="3"/>
    </row>
    <row r="26" spans="1:11" ht="12" x14ac:dyDescent="0.2">
      <c r="A26" s="38" t="s">
        <v>49</v>
      </c>
      <c r="B26" s="39">
        <f>SUM(B19:B25)</f>
        <v>0</v>
      </c>
      <c r="C26" s="3"/>
      <c r="D26" s="3"/>
      <c r="E26" s="3"/>
      <c r="F26" s="3"/>
      <c r="G26" s="3"/>
      <c r="H26" s="3"/>
      <c r="I26" s="79"/>
      <c r="J26" s="79"/>
      <c r="K26" s="79"/>
    </row>
    <row r="27" spans="1:11" ht="12" x14ac:dyDescent="0.2">
      <c r="A27" s="14" t="s">
        <v>50</v>
      </c>
      <c r="B27" s="59">
        <f>B16-B26</f>
        <v>1250000</v>
      </c>
      <c r="C27" s="3"/>
      <c r="D27" s="3"/>
      <c r="E27" s="3"/>
      <c r="F27" s="3"/>
      <c r="G27" s="3"/>
      <c r="H27" s="3"/>
      <c r="I27" s="3"/>
    </row>
    <row r="28" spans="1:11" ht="12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11" ht="12" x14ac:dyDescent="0.2">
      <c r="A29" s="49" t="s">
        <v>13</v>
      </c>
      <c r="B29" s="49"/>
      <c r="C29" s="3"/>
      <c r="D29" s="3"/>
      <c r="E29" s="3"/>
      <c r="F29" s="3"/>
      <c r="G29" s="3"/>
      <c r="H29" s="3"/>
      <c r="I29" s="3"/>
    </row>
    <row r="30" spans="1:11" ht="12" x14ac:dyDescent="0.2">
      <c r="A30" s="14" t="s">
        <v>107</v>
      </c>
      <c r="B30" s="59">
        <f>'MAIN SHEET'!K97</f>
        <v>703438</v>
      </c>
      <c r="C30" s="3"/>
      <c r="D30" s="3"/>
      <c r="E30" s="3"/>
      <c r="F30" s="3"/>
      <c r="G30" s="3"/>
      <c r="H30" s="3"/>
      <c r="I30" s="3"/>
    </row>
    <row r="31" spans="1:11" ht="12" x14ac:dyDescent="0.2">
      <c r="A31" s="14" t="s">
        <v>108</v>
      </c>
      <c r="B31" s="59">
        <f>'MAIN SHEET'!K99</f>
        <v>1953438</v>
      </c>
      <c r="C31" s="3"/>
      <c r="D31" s="3"/>
      <c r="E31" s="3"/>
      <c r="F31" s="3"/>
      <c r="G31" s="3"/>
      <c r="H31" s="3"/>
      <c r="I31" s="3"/>
    </row>
    <row r="32" spans="1:11" ht="12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ht="12" x14ac:dyDescent="0.2">
      <c r="A33" s="195" t="s">
        <v>109</v>
      </c>
      <c r="B33" s="195"/>
      <c r="C33" s="195"/>
      <c r="D33" s="195"/>
      <c r="E33" s="195"/>
      <c r="F33" s="195"/>
      <c r="G33" s="3"/>
      <c r="H33" s="3"/>
      <c r="I33" s="3"/>
    </row>
    <row r="34" spans="1:9" ht="12" x14ac:dyDescent="0.2">
      <c r="A34" s="194" t="str">
        <f>IF(('MAIN SHEET'!N11="")*AND('MAIN SHEET'!N12="")*AND('MAIN SHEET'!N13="")*AND('MAIN SHEET'!N134="")*AND('MAIN SHEET'!N15="")*AND('MAIN SHEET'!N16="")*AND('MAIN SHEET'!N17="")*AND('MAIN SHEET'!N18="")*AND('MAIN SHEET'!N19="")*AND('MAIN SHEET'!N20=""),"","1) The cost share is for the difference between the NIH salary cap and the actual salary for ")&amp;IF('MAIN SHEET'!N11="","",'MAIN SHEET'!N11)&amp;IF('MAIN SHEET'!N12="","",(", "&amp;'MAIN SHEET'!N12))&amp;IF('MAIN SHEET'!N13="","",(", "&amp;'MAIN SHEET'!N13))&amp;IF('MAIN SHEET'!N14="","",(", "&amp;'MAIN SHEET'!N14))&amp;IF('MAIN SHEET'!N15="","",(", "&amp;'MAIN SHEET'!N15))&amp;IF('MAIN SHEET'!N16="","",(", "&amp;'MAIN SHEET'!N16))&amp;IF('MAIN SHEET'!N17="","",(", "&amp;'MAIN SHEET'!N17))&amp;IF('MAIN SHEET'!N18="","",(", "&amp;'MAIN SHEET'!N18))&amp;IF('MAIN SHEET'!N19="","",(", "&amp;'MAIN SHEET'!N19))&amp;IF('MAIN SHEET'!N20="","",(", "&amp;'MAIN SHEET'!N20))</f>
        <v/>
      </c>
      <c r="B34" s="194"/>
      <c r="C34" s="194"/>
      <c r="D34" s="194"/>
      <c r="E34" s="194"/>
      <c r="F34" s="194"/>
      <c r="G34" s="3"/>
      <c r="H34" s="3"/>
      <c r="I34" s="3"/>
    </row>
    <row r="35" spans="1:9" ht="12" x14ac:dyDescent="0.2">
      <c r="A35" s="146" t="str">
        <f>IF('MAIN SHEET'!A104="","","2) "&amp;'MAIN SHEET'!A104)</f>
        <v/>
      </c>
      <c r="B35" s="151"/>
      <c r="C35" s="151"/>
      <c r="D35" s="151"/>
      <c r="E35" s="151"/>
      <c r="F35" s="147"/>
      <c r="G35" s="3"/>
      <c r="H35" s="3"/>
      <c r="I35" s="3"/>
    </row>
    <row r="36" spans="1:9" ht="12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12" x14ac:dyDescent="0.2">
      <c r="A37" s="80" t="s">
        <v>110</v>
      </c>
      <c r="B37" s="80"/>
      <c r="C37" s="85"/>
      <c r="D37" s="85"/>
      <c r="E37" s="85"/>
      <c r="F37" s="85"/>
      <c r="G37" s="3"/>
      <c r="H37" s="3"/>
      <c r="I37" s="3"/>
    </row>
    <row r="38" spans="1:9" s="84" customFormat="1" ht="12.75" customHeight="1" x14ac:dyDescent="0.2">
      <c r="A38" s="82" t="s">
        <v>111</v>
      </c>
      <c r="B38" s="144" t="s">
        <v>112</v>
      </c>
      <c r="C38" s="144"/>
      <c r="D38" s="144"/>
      <c r="E38" s="82" t="s">
        <v>113</v>
      </c>
      <c r="F38" s="82" t="s">
        <v>114</v>
      </c>
      <c r="G38" s="4"/>
      <c r="H38" s="4"/>
      <c r="I38" s="4"/>
    </row>
    <row r="39" spans="1:9" s="27" customFormat="1" ht="12" x14ac:dyDescent="0.2">
      <c r="A39" s="43" t="str">
        <f>IF(SUBCONTRACTS!B4="","",SUBCONTRACTS!B4)</f>
        <v/>
      </c>
      <c r="B39" s="189" t="str">
        <f>IF(SUBCONTRACTS!B5="","",SUBCONTRACTS!B5)</f>
        <v/>
      </c>
      <c r="C39" s="189"/>
      <c r="D39" s="189"/>
      <c r="E39" s="86" t="str">
        <f>IF(SUBCONTRACTS!B9=0,"",SUBCONTRACTS!B9)</f>
        <v/>
      </c>
      <c r="F39" s="86" t="str">
        <f>IF(SUBCONTRACTS!B4="","",SUBCONTRACTS!H9-SUBCONTRACTS!B9)</f>
        <v/>
      </c>
      <c r="G39" s="3"/>
      <c r="H39" s="3"/>
      <c r="I39" s="3"/>
    </row>
    <row r="40" spans="1:9" s="83" customFormat="1" ht="12" x14ac:dyDescent="0.2">
      <c r="A40" s="43" t="str">
        <f>IF(SUBCONTRACTS!B13="","",SUBCONTRACTS!B13)</f>
        <v/>
      </c>
      <c r="B40" s="189" t="str">
        <f>IF(SUBCONTRACTS!B14="","",SUBCONTRACTS!B14)</f>
        <v/>
      </c>
      <c r="C40" s="189"/>
      <c r="D40" s="189"/>
      <c r="E40" s="86" t="str">
        <f>IF(SUBCONTRACTS!B18=0,"",SUBCONTRACTS!B18)</f>
        <v/>
      </c>
      <c r="F40" s="86" t="str">
        <f>IF(SUBCONTRACTS!H18=0,"",SUBCONTRACTS!H18-SUBCONTRACTS!B18)</f>
        <v/>
      </c>
    </row>
    <row r="41" spans="1:9" s="27" customFormat="1" ht="12" x14ac:dyDescent="0.2">
      <c r="A41" s="43" t="str">
        <f>IF(SUBCONTRACTS!B22="","",SUBCONTRACTS!B22)</f>
        <v/>
      </c>
      <c r="B41" s="189" t="str">
        <f>IF(SUBCONTRACTS!B23="","",SUBCONTRACTS!B23)</f>
        <v/>
      </c>
      <c r="C41" s="189"/>
      <c r="D41" s="189"/>
      <c r="E41" s="86" t="str">
        <f>IF(SUBCONTRACTS!B27=0,"",SUBCONTRACTS!B27)</f>
        <v/>
      </c>
      <c r="F41" s="86" t="str">
        <f>IF(SUBCONTRACTS!H27=0,"",SUBCONTRACTS!H27-SUBCONTRACTS!B27)</f>
        <v/>
      </c>
      <c r="G41" s="3"/>
      <c r="H41" s="3"/>
      <c r="I41" s="3"/>
    </row>
    <row r="42" spans="1:9" s="27" customFormat="1" ht="12" x14ac:dyDescent="0.2">
      <c r="A42" s="43" t="str">
        <f>IF(SUBCONTRACTS!B31="","",SUBCONTRACTS!B31)</f>
        <v/>
      </c>
      <c r="B42" s="189" t="str">
        <f>IF(SUBCONTRACTS!B32="","",SUBCONTRACTS!B32)</f>
        <v/>
      </c>
      <c r="C42" s="189"/>
      <c r="D42" s="189"/>
      <c r="E42" s="86" t="str">
        <f>IF(SUBCONTRACTS!B36=0,"",SUBCONTRACTS!B36)</f>
        <v/>
      </c>
      <c r="F42" s="86" t="str">
        <f>IF(SUBCONTRACTS!H36=0,"",SUBCONTRACTS!H36-SUBCONTRACTS!B36)</f>
        <v/>
      </c>
      <c r="G42" s="3"/>
      <c r="H42" s="3"/>
      <c r="I42" s="3"/>
    </row>
    <row r="43" spans="1:9" s="27" customFormat="1" ht="12" x14ac:dyDescent="0.2">
      <c r="A43" s="43" t="str">
        <f>IF(SUBCONTRACTS!B40="","",SUBCONTRACTS!B40)</f>
        <v/>
      </c>
      <c r="B43" s="189" t="str">
        <f>IF(SUBCONTRACTS!B41="","",SUBCONTRACTS!B41)</f>
        <v/>
      </c>
      <c r="C43" s="189"/>
      <c r="D43" s="189"/>
      <c r="E43" s="86" t="str">
        <f>IF(SUBCONTRACTS!B45=0,"",SUBCONTRACTS!B45)</f>
        <v/>
      </c>
      <c r="F43" s="86" t="str">
        <f>IF(SUBCONTRACTS!H45=0,"",SUBCONTRACTS!H45-SUBCONTRACTS!B45)</f>
        <v/>
      </c>
      <c r="G43" s="3"/>
      <c r="H43" s="3"/>
      <c r="I43" s="3"/>
    </row>
    <row r="44" spans="1:9" s="27" customFormat="1" ht="12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12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12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12" x14ac:dyDescent="0.2">
      <c r="A47" s="3"/>
      <c r="B47" s="3"/>
      <c r="C47" s="3"/>
      <c r="D47" s="3"/>
      <c r="E47" s="3"/>
      <c r="F47" s="3"/>
      <c r="G47" s="3"/>
      <c r="H47" s="3"/>
      <c r="I47" s="3"/>
    </row>
  </sheetData>
  <mergeCells count="12">
    <mergeCell ref="D7:E7"/>
    <mergeCell ref="A2:Q2"/>
    <mergeCell ref="A4:F4"/>
    <mergeCell ref="A34:F34"/>
    <mergeCell ref="A35:F35"/>
    <mergeCell ref="A33:F33"/>
    <mergeCell ref="B40:D40"/>
    <mergeCell ref="B41:D41"/>
    <mergeCell ref="B42:D42"/>
    <mergeCell ref="B43:D43"/>
    <mergeCell ref="B38:D38"/>
    <mergeCell ref="B39:D39"/>
  </mergeCells>
  <phoneticPr fontId="2" type="noConversion"/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R60"/>
  <sheetViews>
    <sheetView topLeftCell="A13" workbookViewId="0">
      <selection activeCell="A73" sqref="A73"/>
    </sheetView>
  </sheetViews>
  <sheetFormatPr defaultRowHeight="12.75" x14ac:dyDescent="0.2"/>
  <cols>
    <col min="1" max="1" width="95.5703125" customWidth="1"/>
  </cols>
  <sheetData>
    <row r="2" spans="1:18" s="98" customFormat="1" x14ac:dyDescent="0.2">
      <c r="A2" s="100" t="s">
        <v>119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18" s="98" customFormat="1" x14ac:dyDescent="0.2">
      <c r="A3" s="68" t="s">
        <v>118</v>
      </c>
    </row>
    <row r="4" spans="1:18" s="98" customFormat="1" ht="25.5" x14ac:dyDescent="0.2">
      <c r="A4" s="101" t="s">
        <v>117</v>
      </c>
    </row>
    <row r="5" spans="1:18" s="98" customFormat="1" x14ac:dyDescent="0.2">
      <c r="A5" s="100" t="s">
        <v>120</v>
      </c>
    </row>
    <row r="6" spans="1:18" s="98" customFormat="1" x14ac:dyDescent="0.2">
      <c r="A6" s="68" t="s">
        <v>121</v>
      </c>
    </row>
    <row r="7" spans="1:18" s="98" customFormat="1" x14ac:dyDescent="0.2">
      <c r="A7" s="101" t="s">
        <v>122</v>
      </c>
    </row>
    <row r="8" spans="1:18" s="98" customFormat="1" x14ac:dyDescent="0.2">
      <c r="A8" s="101"/>
    </row>
    <row r="9" spans="1:18" x14ac:dyDescent="0.2">
      <c r="A9" s="100" t="s">
        <v>61</v>
      </c>
    </row>
    <row r="10" spans="1:18" x14ac:dyDescent="0.2">
      <c r="A10" s="68" t="s">
        <v>135</v>
      </c>
    </row>
    <row r="11" spans="1:18" x14ac:dyDescent="0.2">
      <c r="A11" s="102" t="s">
        <v>115</v>
      </c>
    </row>
    <row r="12" spans="1:18" ht="25.5" x14ac:dyDescent="0.2">
      <c r="A12" s="102" t="s">
        <v>167</v>
      </c>
    </row>
    <row r="13" spans="1:18" x14ac:dyDescent="0.2">
      <c r="A13" s="102" t="s">
        <v>123</v>
      </c>
    </row>
    <row r="14" spans="1:18" x14ac:dyDescent="0.2">
      <c r="A14" s="102" t="s">
        <v>124</v>
      </c>
    </row>
    <row r="15" spans="1:18" ht="25.5" x14ac:dyDescent="0.2">
      <c r="A15" s="102" t="s">
        <v>168</v>
      </c>
    </row>
    <row r="16" spans="1:18" x14ac:dyDescent="0.2">
      <c r="A16" s="68" t="s">
        <v>136</v>
      </c>
    </row>
    <row r="17" spans="1:1" s="98" customFormat="1" ht="25.5" x14ac:dyDescent="0.2">
      <c r="A17" s="103" t="s">
        <v>125</v>
      </c>
    </row>
    <row r="18" spans="1:1" x14ac:dyDescent="0.2">
      <c r="A18" s="105" t="s">
        <v>62</v>
      </c>
    </row>
    <row r="19" spans="1:1" x14ac:dyDescent="0.2">
      <c r="A19" s="102" t="s">
        <v>64</v>
      </c>
    </row>
    <row r="20" spans="1:1" ht="25.5" x14ac:dyDescent="0.2">
      <c r="A20" s="102" t="s">
        <v>126</v>
      </c>
    </row>
    <row r="21" spans="1:1" ht="25.5" x14ac:dyDescent="0.2">
      <c r="A21" s="102" t="s">
        <v>127</v>
      </c>
    </row>
    <row r="22" spans="1:1" x14ac:dyDescent="0.2">
      <c r="A22" s="106" t="s">
        <v>169</v>
      </c>
    </row>
    <row r="23" spans="1:1" ht="25.5" x14ac:dyDescent="0.2">
      <c r="A23" s="106" t="s">
        <v>137</v>
      </c>
    </row>
    <row r="24" spans="1:1" x14ac:dyDescent="0.2">
      <c r="A24" s="42" t="s">
        <v>65</v>
      </c>
    </row>
    <row r="25" spans="1:1" ht="25.5" x14ac:dyDescent="0.2">
      <c r="A25" s="102" t="s">
        <v>128</v>
      </c>
    </row>
    <row r="26" spans="1:1" ht="25.5" x14ac:dyDescent="0.2">
      <c r="A26" s="103" t="s">
        <v>129</v>
      </c>
    </row>
    <row r="27" spans="1:1" x14ac:dyDescent="0.2">
      <c r="A27" s="42" t="s">
        <v>165</v>
      </c>
    </row>
    <row r="28" spans="1:1" ht="25.5" x14ac:dyDescent="0.2">
      <c r="A28" s="103" t="s">
        <v>166</v>
      </c>
    </row>
    <row r="29" spans="1:1" x14ac:dyDescent="0.2">
      <c r="A29" s="68" t="s">
        <v>130</v>
      </c>
    </row>
    <row r="30" spans="1:1" ht="25.5" x14ac:dyDescent="0.2">
      <c r="A30" s="101" t="s">
        <v>131</v>
      </c>
    </row>
    <row r="31" spans="1:1" ht="38.25" x14ac:dyDescent="0.2">
      <c r="A31" s="101" t="s">
        <v>132</v>
      </c>
    </row>
    <row r="32" spans="1:1" x14ac:dyDescent="0.2">
      <c r="A32" s="68" t="s">
        <v>133</v>
      </c>
    </row>
    <row r="33" spans="1:1" ht="25.5" x14ac:dyDescent="0.2">
      <c r="A33" s="107" t="s">
        <v>134</v>
      </c>
    </row>
    <row r="34" spans="1:1" x14ac:dyDescent="0.2">
      <c r="A34" s="68" t="s">
        <v>138</v>
      </c>
    </row>
    <row r="35" spans="1:1" x14ac:dyDescent="0.2">
      <c r="A35" s="63" t="s">
        <v>139</v>
      </c>
    </row>
    <row r="36" spans="1:1" x14ac:dyDescent="0.2">
      <c r="A36" s="63" t="s">
        <v>140</v>
      </c>
    </row>
    <row r="37" spans="1:1" x14ac:dyDescent="0.2">
      <c r="A37" s="68" t="s">
        <v>141</v>
      </c>
    </row>
    <row r="38" spans="1:1" ht="25.5" x14ac:dyDescent="0.2">
      <c r="A38" s="102" t="s">
        <v>142</v>
      </c>
    </row>
    <row r="39" spans="1:1" ht="38.25" x14ac:dyDescent="0.2">
      <c r="A39" s="102" t="s">
        <v>143</v>
      </c>
    </row>
    <row r="40" spans="1:1" x14ac:dyDescent="0.2">
      <c r="A40" s="68" t="s">
        <v>144</v>
      </c>
    </row>
    <row r="41" spans="1:1" x14ac:dyDescent="0.2">
      <c r="A41" s="102" t="s">
        <v>146</v>
      </c>
    </row>
    <row r="42" spans="1:1" x14ac:dyDescent="0.2">
      <c r="A42" s="102" t="s">
        <v>145</v>
      </c>
    </row>
    <row r="43" spans="1:1" x14ac:dyDescent="0.2">
      <c r="A43" s="68" t="s">
        <v>147</v>
      </c>
    </row>
    <row r="44" spans="1:1" x14ac:dyDescent="0.2">
      <c r="A44" s="108" t="s">
        <v>148</v>
      </c>
    </row>
    <row r="45" spans="1:1" x14ac:dyDescent="0.2">
      <c r="A45" s="68" t="s">
        <v>149</v>
      </c>
    </row>
    <row r="46" spans="1:1" x14ac:dyDescent="0.2">
      <c r="A46" s="103" t="s">
        <v>150</v>
      </c>
    </row>
    <row r="47" spans="1:1" x14ac:dyDescent="0.2">
      <c r="A47" s="109" t="s">
        <v>151</v>
      </c>
    </row>
    <row r="48" spans="1:1" x14ac:dyDescent="0.2">
      <c r="A48" s="68" t="s">
        <v>153</v>
      </c>
    </row>
    <row r="49" spans="1:1" ht="38.25" x14ac:dyDescent="0.2">
      <c r="A49" s="110" t="s">
        <v>152</v>
      </c>
    </row>
    <row r="50" spans="1:1" x14ac:dyDescent="0.2">
      <c r="A50" s="68" t="s">
        <v>154</v>
      </c>
    </row>
    <row r="51" spans="1:1" x14ac:dyDescent="0.2">
      <c r="A51" s="102" t="s">
        <v>155</v>
      </c>
    </row>
    <row r="52" spans="1:1" x14ac:dyDescent="0.2">
      <c r="A52" s="102" t="s">
        <v>156</v>
      </c>
    </row>
    <row r="53" spans="1:1" x14ac:dyDescent="0.2">
      <c r="A53" s="68" t="s">
        <v>101</v>
      </c>
    </row>
    <row r="54" spans="1:1" ht="25.5" x14ac:dyDescent="0.2">
      <c r="A54" s="102" t="s">
        <v>157</v>
      </c>
    </row>
    <row r="55" spans="1:1" x14ac:dyDescent="0.2">
      <c r="A55" s="100" t="s">
        <v>147</v>
      </c>
    </row>
    <row r="56" spans="1:1" x14ac:dyDescent="0.2">
      <c r="A56" s="68" t="s">
        <v>158</v>
      </c>
    </row>
    <row r="57" spans="1:1" x14ac:dyDescent="0.2">
      <c r="A57" s="102" t="s">
        <v>159</v>
      </c>
    </row>
    <row r="58" spans="1:1" x14ac:dyDescent="0.2">
      <c r="A58" s="102" t="s">
        <v>162</v>
      </c>
    </row>
    <row r="59" spans="1:1" x14ac:dyDescent="0.2">
      <c r="A59" s="102" t="s">
        <v>161</v>
      </c>
    </row>
    <row r="60" spans="1:1" x14ac:dyDescent="0.2">
      <c r="A60" s="102" t="s">
        <v>163</v>
      </c>
    </row>
  </sheetData>
  <phoneticPr fontId="2" type="noConversion"/>
  <pageMargins left="0.25" right="0.25" top="0.25" bottom="0.25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 SHEET</vt:lpstr>
      <vt:lpstr>SUBCONTRACTS</vt:lpstr>
      <vt:lpstr>NIH 424 ITEMS</vt:lpstr>
      <vt:lpstr>ADDL NARR JUSTIF</vt:lpstr>
      <vt:lpstr>PCF BUDGET INFO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Rittenhouse,Jamie</dc:creator>
  <cp:lastModifiedBy>dbbola01</cp:lastModifiedBy>
  <cp:lastPrinted>2012-05-07T12:30:47Z</cp:lastPrinted>
  <dcterms:created xsi:type="dcterms:W3CDTF">2010-01-07T15:31:41Z</dcterms:created>
  <dcterms:modified xsi:type="dcterms:W3CDTF">2019-05-22T12:23:48Z</dcterms:modified>
</cp:coreProperties>
</file>