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OM Research\Grants\DOM Webpage\"/>
    </mc:Choice>
  </mc:AlternateContent>
  <xr:revisionPtr revIDLastSave="0" documentId="13_ncr:1_{1839A80A-FE64-48E6-A4E4-7CE36B8AD757}" xr6:coauthVersionLast="47" xr6:coauthVersionMax="47" xr10:uidLastSave="{00000000-0000-0000-0000-000000000000}"/>
  <bookViews>
    <workbookView xWindow="-120" yWindow="-120" windowWidth="29040" windowHeight="15840" tabRatio="685" xr2:uid="{00000000-000D-0000-FFFF-FFFF00000000}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1" i="1"/>
  <c r="C13" i="1"/>
  <c r="C12" i="1"/>
  <c r="P96" i="1" l="1"/>
  <c r="P95" i="1"/>
  <c r="P94" i="1"/>
  <c r="P93" i="1"/>
  <c r="P92" i="1"/>
  <c r="P91" i="1"/>
  <c r="P90" i="1"/>
  <c r="P89" i="1"/>
  <c r="P88" i="1"/>
  <c r="P87" i="1"/>
  <c r="P86" i="1"/>
  <c r="I20" i="8" l="1"/>
  <c r="I19" i="8"/>
  <c r="I18" i="8"/>
  <c r="E8" i="1"/>
  <c r="A13" i="8" l="1"/>
  <c r="J20" i="8"/>
  <c r="K20" i="8" s="1"/>
  <c r="J19" i="8"/>
  <c r="K19" i="8" s="1"/>
  <c r="J18" i="8"/>
  <c r="K18" i="8" s="1"/>
  <c r="I80" i="1"/>
  <c r="H80" i="1"/>
  <c r="H92" i="1" s="1"/>
  <c r="G80" i="1"/>
  <c r="F80" i="1"/>
  <c r="F92" i="1" s="1"/>
  <c r="E80" i="1"/>
  <c r="E92" i="1" s="1"/>
  <c r="K79" i="1"/>
  <c r="K78" i="1"/>
  <c r="K77" i="1"/>
  <c r="K76" i="1"/>
  <c r="I71" i="1"/>
  <c r="I90" i="1" s="1"/>
  <c r="H71" i="1"/>
  <c r="G71" i="1"/>
  <c r="G90" i="1" s="1"/>
  <c r="F71" i="1"/>
  <c r="E71" i="1"/>
  <c r="E90" i="1" s="1"/>
  <c r="K70" i="1"/>
  <c r="K69" i="1"/>
  <c r="K68" i="1"/>
  <c r="K67" i="1"/>
  <c r="I58" i="1"/>
  <c r="I88" i="1" s="1"/>
  <c r="H58" i="1"/>
  <c r="H88" i="1" s="1"/>
  <c r="G58" i="1"/>
  <c r="F58" i="1"/>
  <c r="C8" i="10" s="1"/>
  <c r="E58" i="1"/>
  <c r="B8" i="10" s="1"/>
  <c r="K57" i="1"/>
  <c r="K56" i="1"/>
  <c r="I54" i="1"/>
  <c r="F7" i="10" s="1"/>
  <c r="H54" i="1"/>
  <c r="E7" i="10" s="1"/>
  <c r="G54" i="1"/>
  <c r="G87" i="1" s="1"/>
  <c r="F54" i="1"/>
  <c r="E54" i="1"/>
  <c r="B7" i="10" s="1"/>
  <c r="K53" i="1"/>
  <c r="K52" i="1"/>
  <c r="I50" i="1"/>
  <c r="I86" i="1" s="1"/>
  <c r="H50" i="1"/>
  <c r="H86" i="1" s="1"/>
  <c r="G50" i="1"/>
  <c r="F50" i="1"/>
  <c r="C9" i="10" s="1"/>
  <c r="E50" i="1"/>
  <c r="K49" i="1"/>
  <c r="K48" i="1"/>
  <c r="K47" i="1"/>
  <c r="K46" i="1"/>
  <c r="I41" i="1"/>
  <c r="F6" i="10" s="1"/>
  <c r="H41" i="1"/>
  <c r="G41" i="1"/>
  <c r="F41" i="1"/>
  <c r="C6" i="10" s="1"/>
  <c r="E41" i="1"/>
  <c r="D9" i="10"/>
  <c r="F9" i="10"/>
  <c r="C7" i="10"/>
  <c r="D6" i="10"/>
  <c r="E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P11" i="1" s="1"/>
  <c r="C20" i="1"/>
  <c r="E20" i="1" s="1"/>
  <c r="C19" i="1"/>
  <c r="E19" i="1" s="1"/>
  <c r="C18" i="1"/>
  <c r="E18" i="1" s="1"/>
  <c r="C17" i="1"/>
  <c r="E17" i="1" s="1"/>
  <c r="C16" i="1"/>
  <c r="E16" i="1" s="1"/>
  <c r="E15" i="1"/>
  <c r="E14" i="1"/>
  <c r="E13" i="1"/>
  <c r="E12" i="1"/>
  <c r="E11" i="1"/>
  <c r="F51" i="4"/>
  <c r="E51" i="4"/>
  <c r="F44" i="8" s="1"/>
  <c r="D51" i="4"/>
  <c r="C51" i="4"/>
  <c r="F24" i="8" s="1"/>
  <c r="B51" i="4"/>
  <c r="F8" i="1"/>
  <c r="F96" i="1" s="1"/>
  <c r="B50" i="4"/>
  <c r="A73" i="1"/>
  <c r="E73" i="1" s="1"/>
  <c r="E84" i="1"/>
  <c r="E86" i="1"/>
  <c r="B9" i="4"/>
  <c r="B10" i="4" s="1"/>
  <c r="E39" i="5"/>
  <c r="B18" i="4"/>
  <c r="B19" i="4" s="1"/>
  <c r="B27" i="4"/>
  <c r="C28" i="4" s="1"/>
  <c r="B36" i="4"/>
  <c r="B37" i="4" s="1"/>
  <c r="B45" i="4"/>
  <c r="E43" i="5" s="1"/>
  <c r="F8" i="5"/>
  <c r="F9" i="5" s="1"/>
  <c r="C9" i="4"/>
  <c r="C18" i="4"/>
  <c r="C27" i="4"/>
  <c r="C36" i="4"/>
  <c r="C45" i="4"/>
  <c r="D9" i="4"/>
  <c r="D18" i="4"/>
  <c r="D27" i="4"/>
  <c r="D36" i="4"/>
  <c r="D37" i="4" s="1"/>
  <c r="D45" i="4"/>
  <c r="E9" i="4"/>
  <c r="E18" i="4"/>
  <c r="H61" i="1" s="1"/>
  <c r="E27" i="4"/>
  <c r="H62" i="1" s="1"/>
  <c r="E36" i="4"/>
  <c r="H63" i="1" s="1"/>
  <c r="E45" i="4"/>
  <c r="H64" i="1" s="1"/>
  <c r="F9" i="4"/>
  <c r="F18" i="4"/>
  <c r="F27" i="4"/>
  <c r="I62" i="1" s="1"/>
  <c r="F36" i="4"/>
  <c r="I63" i="1" s="1"/>
  <c r="F45" i="4"/>
  <c r="F88" i="1"/>
  <c r="G88" i="1"/>
  <c r="F87" i="1"/>
  <c r="F90" i="1"/>
  <c r="C50" i="4"/>
  <c r="F84" i="1"/>
  <c r="G86" i="1"/>
  <c r="G92" i="1"/>
  <c r="D50" i="4"/>
  <c r="G84" i="1"/>
  <c r="H90" i="1"/>
  <c r="E50" i="4"/>
  <c r="H84" i="1"/>
  <c r="I92" i="1"/>
  <c r="F50" i="4"/>
  <c r="C10" i="4"/>
  <c r="E61" i="1"/>
  <c r="F60" i="1"/>
  <c r="F61" i="1"/>
  <c r="F62" i="1"/>
  <c r="F63" i="1"/>
  <c r="F64" i="1"/>
  <c r="G60" i="1"/>
  <c r="G61" i="1"/>
  <c r="G62" i="1"/>
  <c r="G63" i="1"/>
  <c r="G64" i="1"/>
  <c r="H60" i="1"/>
  <c r="I60" i="1"/>
  <c r="I64" i="1"/>
  <c r="B43" i="5"/>
  <c r="B42" i="5"/>
  <c r="A43" i="5"/>
  <c r="A42" i="5"/>
  <c r="A41" i="5"/>
  <c r="F39" i="5"/>
  <c r="B41" i="5"/>
  <c r="B40" i="5"/>
  <c r="A40" i="5"/>
  <c r="B39" i="5"/>
  <c r="A39" i="5"/>
  <c r="A35" i="5"/>
  <c r="D5" i="8"/>
  <c r="F54" i="8"/>
  <c r="F34" i="8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30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E40" i="5"/>
  <c r="N31" i="1"/>
  <c r="D7" i="10" l="1"/>
  <c r="I87" i="1"/>
  <c r="E8" i="10"/>
  <c r="F86" i="1"/>
  <c r="C19" i="4"/>
  <c r="C52" i="4"/>
  <c r="E29" i="1"/>
  <c r="K90" i="1"/>
  <c r="F8" i="10"/>
  <c r="K71" i="1"/>
  <c r="B14" i="5" s="1"/>
  <c r="N25" i="1"/>
  <c r="K41" i="1"/>
  <c r="B10" i="5" s="1"/>
  <c r="B19" i="5" s="1"/>
  <c r="K54" i="1"/>
  <c r="B11" i="5" s="1"/>
  <c r="B20" i="5" s="1"/>
  <c r="E31" i="1"/>
  <c r="E41" i="5"/>
  <c r="F28" i="4"/>
  <c r="D10" i="4"/>
  <c r="H51" i="4"/>
  <c r="F63" i="8" s="1"/>
  <c r="E24" i="1"/>
  <c r="F12" i="1"/>
  <c r="F24" i="1" s="1"/>
  <c r="F16" i="1"/>
  <c r="G16" i="1" s="1"/>
  <c r="E28" i="1"/>
  <c r="N29" i="1"/>
  <c r="N26" i="1"/>
  <c r="E9" i="10"/>
  <c r="K50" i="1"/>
  <c r="B22" i="5" s="1"/>
  <c r="A34" i="5"/>
  <c r="H9" i="4"/>
  <c r="E37" i="4"/>
  <c r="C37" i="4"/>
  <c r="D28" i="4"/>
  <c r="E87" i="1"/>
  <c r="K87" i="1" s="1"/>
  <c r="K58" i="1"/>
  <c r="B21" i="5" s="1"/>
  <c r="G65" i="1"/>
  <c r="G89" i="1" s="1"/>
  <c r="G6" i="10"/>
  <c r="G7" i="10"/>
  <c r="K86" i="1"/>
  <c r="F14" i="8"/>
  <c r="F65" i="1"/>
  <c r="F89" i="1" s="1"/>
  <c r="F10" i="4"/>
  <c r="I84" i="1"/>
  <c r="F52" i="4"/>
  <c r="E88" i="1"/>
  <c r="K88" i="1" s="1"/>
  <c r="H87" i="1"/>
  <c r="I61" i="1"/>
  <c r="I65" i="1" s="1"/>
  <c r="I89" i="1" s="1"/>
  <c r="H65" i="1"/>
  <c r="H89" i="1" s="1"/>
  <c r="E60" i="1"/>
  <c r="E10" i="4"/>
  <c r="K92" i="1"/>
  <c r="H50" i="4"/>
  <c r="K84" i="1"/>
  <c r="C46" i="4"/>
  <c r="O27" i="1"/>
  <c r="O31" i="1"/>
  <c r="B9" i="10"/>
  <c r="G9" i="10" s="1"/>
  <c r="K80" i="1"/>
  <c r="D18" i="8"/>
  <c r="D19" i="8"/>
  <c r="E19" i="8"/>
  <c r="G8" i="1"/>
  <c r="G96" i="1" s="1"/>
  <c r="D28" i="8"/>
  <c r="N23" i="1"/>
  <c r="N27" i="1"/>
  <c r="F19" i="1"/>
  <c r="O23" i="1"/>
  <c r="N28" i="1"/>
  <c r="N32" i="1"/>
  <c r="N24" i="1"/>
  <c r="E74" i="1"/>
  <c r="B11" i="10" s="1"/>
  <c r="F73" i="1"/>
  <c r="E27" i="1"/>
  <c r="F15" i="1"/>
  <c r="E30" i="1"/>
  <c r="F18" i="1"/>
  <c r="F30" i="1" s="1"/>
  <c r="P14" i="1"/>
  <c r="O26" i="1"/>
  <c r="K60" i="1"/>
  <c r="E42" i="5"/>
  <c r="H36" i="4"/>
  <c r="F42" i="5" s="1"/>
  <c r="E64" i="1"/>
  <c r="K64" i="1" s="1"/>
  <c r="F19" i="4"/>
  <c r="E19" i="4"/>
  <c r="D19" i="4"/>
  <c r="B46" i="4"/>
  <c r="B28" i="4"/>
  <c r="B48" i="4" s="1"/>
  <c r="P8" i="1"/>
  <c r="A23" i="8"/>
  <c r="E9" i="1"/>
  <c r="D52" i="4"/>
  <c r="H18" i="4"/>
  <c r="F40" i="5" s="1"/>
  <c r="E63" i="1"/>
  <c r="K63" i="1" s="1"/>
  <c r="F46" i="4"/>
  <c r="E52" i="4"/>
  <c r="D8" i="10"/>
  <c r="G8" i="10" s="1"/>
  <c r="B52" i="4"/>
  <c r="E28" i="4"/>
  <c r="H27" i="4"/>
  <c r="F41" i="5" s="1"/>
  <c r="H45" i="4"/>
  <c r="F43" i="5" s="1"/>
  <c r="E62" i="1"/>
  <c r="K62" i="1" s="1"/>
  <c r="F37" i="4"/>
  <c r="E46" i="4"/>
  <c r="D46" i="4"/>
  <c r="P12" i="1"/>
  <c r="O24" i="1"/>
  <c r="F13" i="1"/>
  <c r="E25" i="1"/>
  <c r="F17" i="1"/>
  <c r="F29" i="1" s="1"/>
  <c r="P18" i="1"/>
  <c r="O30" i="1"/>
  <c r="F11" i="1"/>
  <c r="E21" i="1"/>
  <c r="E23" i="1"/>
  <c r="E26" i="1"/>
  <c r="F14" i="1"/>
  <c r="F20" i="1"/>
  <c r="E32" i="1"/>
  <c r="P13" i="1"/>
  <c r="O25" i="1"/>
  <c r="O21" i="1"/>
  <c r="O28" i="1"/>
  <c r="P16" i="1"/>
  <c r="P20" i="1"/>
  <c r="O32" i="1"/>
  <c r="Q11" i="1"/>
  <c r="P23" i="1"/>
  <c r="O29" i="1"/>
  <c r="P17" i="1"/>
  <c r="P15" i="1"/>
  <c r="P19" i="1"/>
  <c r="C19" i="8"/>
  <c r="G12" i="1" l="1"/>
  <c r="G24" i="1" s="1"/>
  <c r="G17" i="1"/>
  <c r="H17" i="1" s="1"/>
  <c r="F28" i="1"/>
  <c r="C48" i="4"/>
  <c r="C49" i="4" s="1"/>
  <c r="C10" i="10" s="1"/>
  <c r="K61" i="1"/>
  <c r="G18" i="1"/>
  <c r="G30" i="1" s="1"/>
  <c r="D48" i="4"/>
  <c r="D49" i="4" s="1"/>
  <c r="D10" i="10" s="1"/>
  <c r="F19" i="8"/>
  <c r="D38" i="8"/>
  <c r="A33" i="8"/>
  <c r="F9" i="1"/>
  <c r="B23" i="8" s="1"/>
  <c r="Q8" i="1"/>
  <c r="H8" i="1"/>
  <c r="G19" i="1"/>
  <c r="F31" i="1"/>
  <c r="B49" i="4"/>
  <c r="E91" i="1"/>
  <c r="F48" i="4"/>
  <c r="F49" i="4" s="1"/>
  <c r="F10" i="10" s="1"/>
  <c r="F74" i="1"/>
  <c r="G73" i="1"/>
  <c r="B13" i="8"/>
  <c r="O9" i="1"/>
  <c r="H52" i="4"/>
  <c r="P26" i="1"/>
  <c r="Q14" i="1"/>
  <c r="G15" i="1"/>
  <c r="F27" i="1"/>
  <c r="E48" i="4"/>
  <c r="E49" i="4" s="1"/>
  <c r="E10" i="10" s="1"/>
  <c r="E65" i="1"/>
  <c r="F25" i="1"/>
  <c r="G13" i="1"/>
  <c r="P24" i="1"/>
  <c r="Q12" i="1"/>
  <c r="R11" i="1"/>
  <c r="Q23" i="1"/>
  <c r="F23" i="1"/>
  <c r="G11" i="1"/>
  <c r="F21" i="1"/>
  <c r="F82" i="1" s="1"/>
  <c r="G29" i="1"/>
  <c r="P28" i="1"/>
  <c r="Q16" i="1"/>
  <c r="O33" i="1"/>
  <c r="F32" i="1"/>
  <c r="G20" i="1"/>
  <c r="E33" i="1"/>
  <c r="Q19" i="1"/>
  <c r="P31" i="1"/>
  <c r="Q13" i="1"/>
  <c r="P25" i="1"/>
  <c r="F26" i="1"/>
  <c r="G14" i="1"/>
  <c r="G28" i="1"/>
  <c r="H16" i="1"/>
  <c r="Q15" i="1"/>
  <c r="P27" i="1"/>
  <c r="P29" i="1"/>
  <c r="Q17" i="1"/>
  <c r="P21" i="1"/>
  <c r="Q20" i="1"/>
  <c r="P32" i="1"/>
  <c r="E82" i="1"/>
  <c r="P30" i="1"/>
  <c r="Q18" i="1"/>
  <c r="H18" i="1" l="1"/>
  <c r="H12" i="1"/>
  <c r="H24" i="1" s="1"/>
  <c r="H96" i="1"/>
  <c r="D48" i="8" s="1"/>
  <c r="G9" i="1"/>
  <c r="Q9" i="1" s="1"/>
  <c r="I8" i="1"/>
  <c r="I96" i="1" s="1"/>
  <c r="A43" i="8"/>
  <c r="P9" i="1"/>
  <c r="R8" i="1"/>
  <c r="G31" i="1"/>
  <c r="H19" i="1"/>
  <c r="K65" i="1"/>
  <c r="B12" i="5" s="1"/>
  <c r="E89" i="1"/>
  <c r="K89" i="1" s="1"/>
  <c r="Q26" i="1"/>
  <c r="R14" i="1"/>
  <c r="H73" i="1"/>
  <c r="G74" i="1"/>
  <c r="F91" i="1"/>
  <c r="C11" i="10"/>
  <c r="H48" i="4"/>
  <c r="G27" i="1"/>
  <c r="H15" i="1"/>
  <c r="H49" i="4"/>
  <c r="B23" i="5" s="1"/>
  <c r="B10" i="10"/>
  <c r="G25" i="1"/>
  <c r="H13" i="1"/>
  <c r="Q24" i="1"/>
  <c r="R12" i="1"/>
  <c r="R17" i="1"/>
  <c r="Q29" i="1"/>
  <c r="Q27" i="1"/>
  <c r="R15" i="1"/>
  <c r="P33" i="1"/>
  <c r="H29" i="1"/>
  <c r="I17" i="1"/>
  <c r="I29" i="1" s="1"/>
  <c r="R13" i="1"/>
  <c r="Q25" i="1"/>
  <c r="E83" i="1"/>
  <c r="E43" i="1" s="1"/>
  <c r="G23" i="1"/>
  <c r="H11" i="1"/>
  <c r="G21" i="1"/>
  <c r="Q21" i="1"/>
  <c r="I18" i="1"/>
  <c r="I30" i="1" s="1"/>
  <c r="H30" i="1"/>
  <c r="R20" i="1"/>
  <c r="Q32" i="1"/>
  <c r="I16" i="1"/>
  <c r="I28" i="1" s="1"/>
  <c r="H28" i="1"/>
  <c r="H14" i="1"/>
  <c r="G26" i="1"/>
  <c r="R19" i="1"/>
  <c r="Q31" i="1"/>
  <c r="H20" i="1"/>
  <c r="G32" i="1"/>
  <c r="Q28" i="1"/>
  <c r="R16" i="1"/>
  <c r="F33" i="1"/>
  <c r="F83" i="1" s="1"/>
  <c r="S11" i="1"/>
  <c r="R23" i="1"/>
  <c r="Q30" i="1"/>
  <c r="R18" i="1"/>
  <c r="I12" i="1" l="1"/>
  <c r="I24" i="1" s="1"/>
  <c r="K24" i="1" s="1"/>
  <c r="K18" i="1"/>
  <c r="B33" i="8"/>
  <c r="D58" i="8"/>
  <c r="S8" i="1"/>
  <c r="H9" i="1"/>
  <c r="R9" i="1" s="1"/>
  <c r="A53" i="8"/>
  <c r="K29" i="1"/>
  <c r="H31" i="1"/>
  <c r="I19" i="1"/>
  <c r="R26" i="1"/>
  <c r="S14" i="1"/>
  <c r="S26" i="1" s="1"/>
  <c r="D11" i="10"/>
  <c r="D12" i="10" s="1"/>
  <c r="G91" i="1"/>
  <c r="I15" i="1"/>
  <c r="H27" i="1"/>
  <c r="C12" i="10"/>
  <c r="I73" i="1"/>
  <c r="H74" i="1"/>
  <c r="G10" i="10"/>
  <c r="B12" i="10"/>
  <c r="K30" i="1"/>
  <c r="I13" i="1"/>
  <c r="H25" i="1"/>
  <c r="S12" i="1"/>
  <c r="R24" i="1"/>
  <c r="E44" i="1"/>
  <c r="E85" i="1" s="1"/>
  <c r="S23" i="1"/>
  <c r="U23" i="1" s="1"/>
  <c r="H23" i="1"/>
  <c r="I11" i="1"/>
  <c r="H21" i="1"/>
  <c r="H82" i="1" s="1"/>
  <c r="Q33" i="1"/>
  <c r="S15" i="1"/>
  <c r="R27" i="1"/>
  <c r="S17" i="1"/>
  <c r="S29" i="1" s="1"/>
  <c r="R29" i="1"/>
  <c r="I14" i="1"/>
  <c r="I26" i="1" s="1"/>
  <c r="H26" i="1"/>
  <c r="G33" i="1"/>
  <c r="G83" i="1" s="1"/>
  <c r="S13" i="1"/>
  <c r="R25" i="1"/>
  <c r="R30" i="1"/>
  <c r="S18" i="1"/>
  <c r="U11" i="1"/>
  <c r="I20" i="1"/>
  <c r="I32" i="1" s="1"/>
  <c r="H32" i="1"/>
  <c r="R21" i="1"/>
  <c r="S16" i="1"/>
  <c r="R28" i="1"/>
  <c r="K16" i="1"/>
  <c r="K17" i="1"/>
  <c r="F43" i="1"/>
  <c r="F44" i="1" s="1"/>
  <c r="F85" i="1" s="1"/>
  <c r="F93" i="1" s="1"/>
  <c r="R31" i="1"/>
  <c r="S19" i="1"/>
  <c r="S31" i="1" s="1"/>
  <c r="K28" i="1"/>
  <c r="S20" i="1"/>
  <c r="R32" i="1"/>
  <c r="G82" i="1"/>
  <c r="K12" i="1" l="1"/>
  <c r="B43" i="8"/>
  <c r="I9" i="1"/>
  <c r="B6" i="1" s="1"/>
  <c r="U14" i="1"/>
  <c r="I31" i="1"/>
  <c r="K31" i="1" s="1"/>
  <c r="K19" i="1"/>
  <c r="U31" i="1"/>
  <c r="U26" i="1"/>
  <c r="K20" i="1"/>
  <c r="U29" i="1"/>
  <c r="I74" i="1"/>
  <c r="K74" i="1" s="1"/>
  <c r="B15" i="5" s="1"/>
  <c r="B24" i="5" s="1"/>
  <c r="B26" i="5" s="1"/>
  <c r="K73" i="1"/>
  <c r="I27" i="1"/>
  <c r="K27" i="1" s="1"/>
  <c r="K15" i="1"/>
  <c r="H91" i="1"/>
  <c r="E11" i="10"/>
  <c r="E12" i="10" s="1"/>
  <c r="U17" i="1"/>
  <c r="R33" i="1"/>
  <c r="U19" i="1"/>
  <c r="K14" i="1"/>
  <c r="I25" i="1"/>
  <c r="K25" i="1" s="1"/>
  <c r="K13" i="1"/>
  <c r="K32" i="1"/>
  <c r="S24" i="1"/>
  <c r="U24" i="1" s="1"/>
  <c r="U12" i="1"/>
  <c r="I23" i="1"/>
  <c r="I21" i="1"/>
  <c r="S30" i="1"/>
  <c r="U30" i="1" s="1"/>
  <c r="U18" i="1"/>
  <c r="S25" i="1"/>
  <c r="U25" i="1" s="1"/>
  <c r="U13" i="1"/>
  <c r="H33" i="1"/>
  <c r="H83" i="1" s="1"/>
  <c r="F23" i="8"/>
  <c r="F25" i="8" s="1"/>
  <c r="K26" i="1"/>
  <c r="K11" i="1"/>
  <c r="S21" i="1"/>
  <c r="U21" i="1" s="1"/>
  <c r="E8" i="5" s="1"/>
  <c r="S32" i="1"/>
  <c r="U32" i="1" s="1"/>
  <c r="U20" i="1"/>
  <c r="S28" i="1"/>
  <c r="U28" i="1" s="1"/>
  <c r="U16" i="1"/>
  <c r="F95" i="1"/>
  <c r="G43" i="1"/>
  <c r="G44" i="1" s="1"/>
  <c r="G85" i="1" s="1"/>
  <c r="G95" i="1" s="1"/>
  <c r="S27" i="1"/>
  <c r="U27" i="1" s="1"/>
  <c r="U15" i="1"/>
  <c r="E93" i="1"/>
  <c r="E95" i="1"/>
  <c r="H43" i="1" l="1"/>
  <c r="H44" i="1" s="1"/>
  <c r="H85" i="1" s="1"/>
  <c r="H95" i="1" s="1"/>
  <c r="E48" i="8" s="1"/>
  <c r="S9" i="1"/>
  <c r="B53" i="8"/>
  <c r="F11" i="10"/>
  <c r="F12" i="10" s="1"/>
  <c r="G12" i="10" s="1"/>
  <c r="I91" i="1"/>
  <c r="K91" i="1" s="1"/>
  <c r="S33" i="1"/>
  <c r="U33" i="1" s="1"/>
  <c r="E9" i="5" s="1"/>
  <c r="E16" i="5" s="1"/>
  <c r="G97" i="1"/>
  <c r="F38" i="8" s="1"/>
  <c r="E38" i="8"/>
  <c r="F97" i="1"/>
  <c r="E28" i="8"/>
  <c r="I82" i="1"/>
  <c r="K21" i="1"/>
  <c r="B8" i="5" s="1"/>
  <c r="I33" i="1"/>
  <c r="K23" i="1"/>
  <c r="G93" i="1"/>
  <c r="F13" i="8"/>
  <c r="F15" i="8" s="1"/>
  <c r="E97" i="1"/>
  <c r="E18" i="8"/>
  <c r="F18" i="8" s="1"/>
  <c r="D6" i="8"/>
  <c r="A5" i="5"/>
  <c r="H93" i="1" l="1"/>
  <c r="F43" i="8" s="1"/>
  <c r="F45" i="8" s="1"/>
  <c r="H97" i="1"/>
  <c r="F48" i="8" s="1"/>
  <c r="G11" i="10"/>
  <c r="K82" i="1"/>
  <c r="F33" i="8"/>
  <c r="F35" i="8" s="1"/>
  <c r="G99" i="1"/>
  <c r="I83" i="1"/>
  <c r="K83" i="1" s="1"/>
  <c r="K33" i="1"/>
  <c r="B9" i="5" s="1"/>
  <c r="F28" i="8"/>
  <c r="F99" i="1"/>
  <c r="E99" i="1"/>
  <c r="H99" i="1" l="1"/>
  <c r="I43" i="1"/>
  <c r="I44" i="1" l="1"/>
  <c r="K43" i="1"/>
  <c r="I85" i="1" l="1"/>
  <c r="K44" i="1"/>
  <c r="B13" i="5" s="1"/>
  <c r="B16" i="5" s="1"/>
  <c r="B27" i="5" s="1"/>
  <c r="K85" i="1" l="1"/>
  <c r="I93" i="1"/>
  <c r="I95" i="1"/>
  <c r="E58" i="8" l="1"/>
  <c r="I97" i="1"/>
  <c r="K95" i="1"/>
  <c r="F53" i="8"/>
  <c r="F55" i="8" s="1"/>
  <c r="K93" i="1"/>
  <c r="F58" i="8" l="1"/>
  <c r="K97" i="1"/>
  <c r="F64" i="8"/>
  <c r="F62" i="8"/>
  <c r="I99" i="1"/>
  <c r="K99" i="1" s="1"/>
  <c r="F65" i="8" l="1"/>
  <c r="B30" i="5"/>
  <c r="B31" i="5"/>
  <c r="F66" i="8"/>
  <c r="D7" i="8"/>
  <c r="D8" i="8" s="1"/>
</calcChain>
</file>

<file path=xl/sharedStrings.xml><?xml version="1.0" encoding="utf-8"?>
<sst xmlns="http://schemas.openxmlformats.org/spreadsheetml/2006/main" count="429" uniqueCount="201">
  <si>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</si>
  <si>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</si>
  <si>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</si>
  <si>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</si>
  <si>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</si>
  <si>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</si>
  <si>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</si>
  <si>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</si>
  <si>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</si>
  <si>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</si>
  <si>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</si>
  <si>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</si>
  <si>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</si>
  <si>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</si>
  <si>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</si>
  <si>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</si>
  <si>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</si>
  <si>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</si>
  <si>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</si>
  <si>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</si>
  <si>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</si>
  <si>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</si>
  <si>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</si>
  <si>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</si>
  <si>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</si>
  <si>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</si>
  <si>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</si>
  <si>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</si>
  <si>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</si>
  <si>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</si>
  <si>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</si>
  <si>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</si>
  <si>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</si>
  <si>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</si>
  <si>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</si>
  <si>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</si>
  <si>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</si>
  <si>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</si>
  <si>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</si>
  <si>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</si>
  <si>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</si>
  <si>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</si>
  <si>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</si>
  <si>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</si>
  <si>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</si>
  <si>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</si>
  <si>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</si>
  <si>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</si>
  <si>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</si>
  <si>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</si>
  <si>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</si>
  <si>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</si>
  <si>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</si>
  <si>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</si>
  <si>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</si>
  <si>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</si>
  <si>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</si>
  <si>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</si>
  <si>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</si>
  <si>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</si>
  <si>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</si>
  <si>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</si>
  <si>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</si>
  <si>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</si>
  <si>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</si>
  <si>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</si>
  <si>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</si>
  <si>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</si>
  <si>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</si>
  <si>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</si>
  <si>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</si>
  <si>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</si>
  <si>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</si>
  <si>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</si>
  <si>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</si>
  <si>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</si>
  <si>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</si>
  <si>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</si>
  <si>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</si>
  <si>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</si>
  <si>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</si>
  <si>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</si>
  <si>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</si>
  <si>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</si>
  <si>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</si>
  <si>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</si>
  <si>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</si>
  <si>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</si>
  <si>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</si>
  <si>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</si>
  <si>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</si>
  <si>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</si>
  <si>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</si>
  <si>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</si>
  <si>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</si>
  <si>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</si>
  <si>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</si>
  <si>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</si>
  <si>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</si>
  <si>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</si>
  <si>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</si>
  <si>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</si>
  <si>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</si>
  <si>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</si>
  <si>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</si>
  <si>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</si>
  <si>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</si>
  <si>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</si>
  <si>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</si>
  <si>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</si>
  <si>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</si>
  <si>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</si>
  <si>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</si>
  <si>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</si>
  <si>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</si>
  <si>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</si>
  <si>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</si>
  <si>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</si>
  <si>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</si>
  <si>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</si>
  <si>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</si>
  <si>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</si>
  <si>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</si>
  <si>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</si>
  <si>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</si>
  <si>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</si>
  <si>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</si>
  <si>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</si>
  <si>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</si>
  <si>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</si>
  <si>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</si>
  <si>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</si>
  <si>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</si>
  <si>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</si>
  <si>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</si>
  <si>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</si>
  <si>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</si>
  <si>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</si>
  <si>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</si>
  <si>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</si>
  <si>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</si>
  <si>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</si>
  <si>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</si>
  <si>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</si>
  <si>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</si>
  <si>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</si>
  <si>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</si>
  <si>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</si>
  <si>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</si>
  <si>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</si>
  <si>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</si>
  <si>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</si>
  <si>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</si>
  <si>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</si>
  <si>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</si>
  <si>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</si>
  <si>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</si>
  <si>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</si>
  <si>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</si>
  <si>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</si>
  <si>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</si>
  <si>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</si>
  <si>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</si>
  <si>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</si>
  <si>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</si>
  <si>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</si>
  <si>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</si>
  <si>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</si>
  <si>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</si>
  <si>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</si>
  <si>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</si>
  <si>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</si>
  <si>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</si>
  <si>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</si>
  <si>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</si>
  <si>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</si>
  <si>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</si>
  <si>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</si>
  <si>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</si>
  <si>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</si>
  <si>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</si>
  <si>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</si>
  <si>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</si>
  <si>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</si>
  <si>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</si>
  <si>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</si>
  <si>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</si>
  <si>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</si>
  <si>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</si>
  <si>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</si>
  <si>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F/A calculations</t>
  </si>
  <si>
    <t>Cognizant Federal Agency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</si>
  <si>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</si>
  <si>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</si>
  <si>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</si>
  <si>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https://louisville.edu/research/common/fringe-benefits</t>
  </si>
  <si>
    <t>Fringe benefit rate*</t>
  </si>
  <si>
    <t xml:space="preserve">DHHS,  Arif Karim, 214-767-3261 </t>
  </si>
  <si>
    <t>F/A Calculations</t>
  </si>
  <si>
    <t>Publication Costs</t>
  </si>
  <si>
    <t>NIH salary cap (1/29/24)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</si>
</sst>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6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167" fontId="9" fillId="0" borderId="0" xfId="0" applyNumberFormat="1" applyFont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/>
    <xf numFmtId="6" fontId="5" fillId="4" borderId="1" xfId="0" applyNumberFormat="1" applyFont="1" applyFill="1" applyBorder="1" applyProtection="1">
      <protection locked="0"/>
    </xf>
    <xf numFmtId="0" fontId="13" fillId="0" borderId="0" xfId="0" applyFont="1"/>
    <xf numFmtId="0" fontId="12" fillId="2" borderId="1" xfId="0" applyFont="1" applyFill="1" applyBorder="1"/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3" fillId="0" borderId="0" xfId="2" applyAlignment="1">
      <alignment vertical="center"/>
    </xf>
    <xf numFmtId="0" fontId="23" fillId="0" borderId="0" xfId="2"/>
    <xf numFmtId="10" fontId="20" fillId="0" borderId="0" xfId="0" applyNumberFormat="1" applyFont="1" applyAlignment="1">
      <alignment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uisville.edu/research/researchers/proposals/budget-and-financials/recommended-fringe-rat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V109"/>
  <sheetViews>
    <sheetView tabSelected="1" topLeftCell="A12" workbookViewId="0">
      <selection activeCell="S45" sqref="S45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3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49" customFormat="1" ht="15.75" x14ac:dyDescent="0.25">
      <c r="A2" s="138" t="s">
        <v>57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x14ac:dyDescent="0.2">
      <c r="A3" s="12" t="s">
        <v>0</v>
      </c>
      <c r="B3" s="142"/>
      <c r="C3" s="143"/>
      <c r="D3" s="143"/>
      <c r="E3" s="143"/>
      <c r="F3" s="143"/>
      <c r="G3" s="143"/>
      <c r="H3" s="143"/>
      <c r="I3" s="144"/>
      <c r="N3" s="50"/>
    </row>
    <row r="4" spans="1:22" ht="12.75" x14ac:dyDescent="0.2">
      <c r="A4" s="12" t="s">
        <v>1</v>
      </c>
      <c r="B4" s="145"/>
      <c r="C4" s="146"/>
      <c r="D4" s="146"/>
      <c r="E4" s="146"/>
      <c r="F4" s="146"/>
      <c r="G4" s="146"/>
      <c r="H4" s="146"/>
      <c r="I4" s="147"/>
      <c r="K4" s="106"/>
      <c r="N4" s="51"/>
    </row>
    <row r="5" spans="1:22" x14ac:dyDescent="0.2">
      <c r="A5" s="12" t="s">
        <v>11</v>
      </c>
      <c r="B5" s="148">
        <v>45170</v>
      </c>
      <c r="C5" s="148"/>
      <c r="D5" s="148"/>
      <c r="E5" s="148"/>
      <c r="F5" s="148"/>
      <c r="G5" s="148"/>
      <c r="H5" s="148"/>
      <c r="I5" s="148"/>
      <c r="N5" s="82"/>
    </row>
    <row r="6" spans="1:22" x14ac:dyDescent="0.2">
      <c r="A6" s="12" t="s">
        <v>12</v>
      </c>
      <c r="B6" s="148">
        <f>I9</f>
        <v>46996</v>
      </c>
      <c r="C6" s="148"/>
      <c r="D6" s="148"/>
      <c r="E6" s="148"/>
      <c r="F6" s="148"/>
      <c r="G6" s="148"/>
      <c r="H6" s="148"/>
      <c r="I6" s="148"/>
      <c r="N6" s="51"/>
    </row>
    <row r="7" spans="1:22" x14ac:dyDescent="0.2">
      <c r="A7" s="12" t="s">
        <v>116</v>
      </c>
      <c r="B7" s="149">
        <v>0.03</v>
      </c>
      <c r="C7" s="149"/>
      <c r="D7" s="149"/>
      <c r="E7" s="149"/>
      <c r="F7" s="149"/>
      <c r="G7" s="149"/>
      <c r="H7" s="149"/>
      <c r="I7" s="149"/>
      <c r="J7" s="4"/>
    </row>
    <row r="8" spans="1:22" s="5" customFormat="1" ht="12.75" customHeight="1" x14ac:dyDescent="0.2">
      <c r="D8" s="43" t="s">
        <v>67</v>
      </c>
      <c r="E8" s="88">
        <f>SUM(B5)</f>
        <v>45170</v>
      </c>
      <c r="F8" s="44">
        <f>EDATE(E8,12)</f>
        <v>45536</v>
      </c>
      <c r="G8" s="44">
        <f>EDATE(F8,12)</f>
        <v>45901</v>
      </c>
      <c r="H8" s="44">
        <f>EDATE(G8,12)</f>
        <v>46266</v>
      </c>
      <c r="I8" s="44">
        <f>EDATE(H8,12)</f>
        <v>46631</v>
      </c>
      <c r="J8" s="6"/>
      <c r="N8" s="150" t="s">
        <v>31</v>
      </c>
      <c r="O8" s="105">
        <f t="shared" ref="O8:S9" si="0">E8</f>
        <v>45170</v>
      </c>
      <c r="P8" s="105">
        <f t="shared" si="0"/>
        <v>45536</v>
      </c>
      <c r="Q8" s="105">
        <f t="shared" si="0"/>
        <v>45901</v>
      </c>
      <c r="R8" s="105">
        <f t="shared" si="0"/>
        <v>46266</v>
      </c>
      <c r="S8" s="105">
        <f t="shared" si="0"/>
        <v>46631</v>
      </c>
      <c r="T8" s="37"/>
      <c r="U8" s="37"/>
    </row>
    <row r="9" spans="1:22" s="5" customFormat="1" x14ac:dyDescent="0.2">
      <c r="D9" s="43" t="s">
        <v>68</v>
      </c>
      <c r="E9" s="44">
        <f>F8-1</f>
        <v>45535</v>
      </c>
      <c r="F9" s="44">
        <f>G8-1</f>
        <v>45900</v>
      </c>
      <c r="G9" s="44">
        <f>H8-1</f>
        <v>46265</v>
      </c>
      <c r="H9" s="44">
        <f>I8-1</f>
        <v>46630</v>
      </c>
      <c r="I9" s="44">
        <f>EDATE(H9,12)</f>
        <v>46996</v>
      </c>
      <c r="J9" s="6"/>
      <c r="N9" s="150"/>
      <c r="O9" s="105">
        <f t="shared" si="0"/>
        <v>45535</v>
      </c>
      <c r="P9" s="105">
        <f t="shared" si="0"/>
        <v>45900</v>
      </c>
      <c r="Q9" s="105">
        <f t="shared" si="0"/>
        <v>46265</v>
      </c>
      <c r="R9" s="105">
        <f t="shared" si="0"/>
        <v>46630</v>
      </c>
      <c r="S9" s="105">
        <f t="shared" si="0"/>
        <v>46996</v>
      </c>
      <c r="T9" s="37"/>
      <c r="U9" s="37"/>
    </row>
    <row r="10" spans="1:22" s="4" customFormat="1" x14ac:dyDescent="0.2">
      <c r="A10" s="39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3"/>
      <c r="B11" s="84"/>
      <c r="C11" s="9">
        <f>IF(B11&gt;O36,O36,B11)*(1+B7)</f>
        <v>0</v>
      </c>
      <c r="D11" s="96">
        <v>0.05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2">
        <f>D11*12</f>
        <v>0.60000000000000009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07"/>
    </row>
    <row r="12" spans="1:22" x14ac:dyDescent="0.2">
      <c r="A12" s="83"/>
      <c r="B12" s="84"/>
      <c r="C12" s="9">
        <f>IF(B12&gt;O36,O36,B12)*(1+B7)</f>
        <v>0</v>
      </c>
      <c r="D12" s="96">
        <v>0.15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2">
        <f t="shared" ref="L12:L20" si="5">D12*12</f>
        <v>1.7999999999999998</v>
      </c>
      <c r="N12" s="8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07"/>
    </row>
    <row r="13" spans="1:22" x14ac:dyDescent="0.2">
      <c r="A13" s="83"/>
      <c r="B13" s="84"/>
      <c r="C13" s="9">
        <f>IF(B13&gt;O36,O36,B13)*(1+B7)</f>
        <v>0</v>
      </c>
      <c r="D13" s="96">
        <v>0.15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2">
        <f t="shared" si="5"/>
        <v>1.7999999999999998</v>
      </c>
      <c r="N13" s="8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07"/>
    </row>
    <row r="14" spans="1:22" x14ac:dyDescent="0.2">
      <c r="A14" s="83"/>
      <c r="B14" s="84"/>
      <c r="C14" s="9">
        <f>IF(B14&gt;O36,O36,B14)*(1+B7)</f>
        <v>0</v>
      </c>
      <c r="D14" s="96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2">
        <f t="shared" si="5"/>
        <v>0</v>
      </c>
      <c r="M14" s="2"/>
      <c r="N14" s="8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07"/>
    </row>
    <row r="15" spans="1:22" x14ac:dyDescent="0.2">
      <c r="A15" s="83"/>
      <c r="B15" s="84"/>
      <c r="C15" s="9">
        <f>IF(B15&gt;O36,O36,B15)*(1+B7)</f>
        <v>0</v>
      </c>
      <c r="D15" s="96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2">
        <f t="shared" si="5"/>
        <v>0</v>
      </c>
      <c r="N15" s="8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07"/>
    </row>
    <row r="16" spans="1:22" x14ac:dyDescent="0.2">
      <c r="A16" s="83"/>
      <c r="B16" s="84">
        <v>0</v>
      </c>
      <c r="C16" s="9">
        <f>IF(B16&gt;O36,O36,B16)</f>
        <v>0</v>
      </c>
      <c r="D16" s="96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2">
        <f t="shared" si="5"/>
        <v>0</v>
      </c>
      <c r="N16" s="8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07"/>
    </row>
    <row r="17" spans="1:22" x14ac:dyDescent="0.2">
      <c r="A17" s="83"/>
      <c r="B17" s="84">
        <v>0</v>
      </c>
      <c r="C17" s="9">
        <f>IF(B17&gt;O36,O36,B17)</f>
        <v>0</v>
      </c>
      <c r="D17" s="96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2">
        <f t="shared" si="5"/>
        <v>0</v>
      </c>
      <c r="N17" s="8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07"/>
    </row>
    <row r="18" spans="1:22" x14ac:dyDescent="0.2">
      <c r="A18" s="83"/>
      <c r="B18" s="84">
        <v>0</v>
      </c>
      <c r="C18" s="9">
        <f>IF(B18&gt;O36,O36,B18)</f>
        <v>0</v>
      </c>
      <c r="D18" s="96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2">
        <f t="shared" si="5"/>
        <v>0</v>
      </c>
      <c r="N18" s="8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07"/>
    </row>
    <row r="19" spans="1:22" x14ac:dyDescent="0.2">
      <c r="A19" s="83"/>
      <c r="B19" s="84">
        <v>0</v>
      </c>
      <c r="C19" s="9">
        <f>IF(B19&gt;O36,O36,B19)</f>
        <v>0</v>
      </c>
      <c r="D19" s="96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2">
        <f t="shared" si="5"/>
        <v>0</v>
      </c>
      <c r="N19" s="8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07"/>
    </row>
    <row r="20" spans="1:22" x14ac:dyDescent="0.2">
      <c r="A20" s="83"/>
      <c r="B20" s="84">
        <v>0</v>
      </c>
      <c r="C20" s="9">
        <f>IF(B20&gt;O36,O36,B20)</f>
        <v>0</v>
      </c>
      <c r="D20" s="96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2">
        <f t="shared" si="5"/>
        <v>0</v>
      </c>
      <c r="N20" s="8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86"/>
    </row>
    <row r="21" spans="1:22" s="5" customFormat="1" x14ac:dyDescent="0.2">
      <c r="A21" s="151" t="s">
        <v>13</v>
      </c>
      <c r="B21" s="152"/>
      <c r="C21" s="152"/>
      <c r="D21" s="153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39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39" t="str">
        <f>IF(ISBLANK(A11),"",A11)</f>
        <v/>
      </c>
      <c r="B23" s="140"/>
      <c r="C23" s="86"/>
      <c r="D23" s="85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8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42" t="str">
        <f>IF(ISBLANK(V11),"",V11)</f>
        <v/>
      </c>
    </row>
    <row r="24" spans="1:22" x14ac:dyDescent="0.2">
      <c r="A24" s="139" t="str">
        <f t="shared" ref="A24:A32" si="12">IF(ISBLANK(A12),"",A12)</f>
        <v/>
      </c>
      <c r="B24" s="140"/>
      <c r="C24" s="86"/>
      <c r="D24" s="85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8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42" t="str">
        <f t="shared" ref="V24:V32" si="15">IF(ISBLANK(V12),"",V12)</f>
        <v/>
      </c>
    </row>
    <row r="25" spans="1:22" x14ac:dyDescent="0.2">
      <c r="A25" s="139" t="str">
        <f t="shared" si="12"/>
        <v/>
      </c>
      <c r="B25" s="140"/>
      <c r="C25" s="86"/>
      <c r="D25" s="85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8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42" t="str">
        <f t="shared" si="15"/>
        <v/>
      </c>
    </row>
    <row r="26" spans="1:22" x14ac:dyDescent="0.2">
      <c r="A26" s="139" t="str">
        <f t="shared" si="12"/>
        <v/>
      </c>
      <c r="B26" s="140"/>
      <c r="C26" s="86"/>
      <c r="D26" s="85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8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42" t="str">
        <f t="shared" si="15"/>
        <v/>
      </c>
    </row>
    <row r="27" spans="1:22" x14ac:dyDescent="0.2">
      <c r="A27" s="139" t="str">
        <f t="shared" si="12"/>
        <v/>
      </c>
      <c r="B27" s="140"/>
      <c r="C27" s="86"/>
      <c r="D27" s="85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8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42" t="str">
        <f t="shared" si="15"/>
        <v/>
      </c>
    </row>
    <row r="28" spans="1:22" x14ac:dyDescent="0.2">
      <c r="A28" s="139" t="str">
        <f t="shared" si="12"/>
        <v/>
      </c>
      <c r="B28" s="140"/>
      <c r="C28" s="86"/>
      <c r="D28" s="85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8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42" t="str">
        <f t="shared" si="15"/>
        <v/>
      </c>
    </row>
    <row r="29" spans="1:22" x14ac:dyDescent="0.2">
      <c r="A29" s="139" t="str">
        <f t="shared" si="12"/>
        <v/>
      </c>
      <c r="B29" s="140"/>
      <c r="C29" s="86"/>
      <c r="D29" s="85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8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42" t="str">
        <f t="shared" si="15"/>
        <v/>
      </c>
    </row>
    <row r="30" spans="1:22" x14ac:dyDescent="0.2">
      <c r="A30" s="139" t="str">
        <f t="shared" si="12"/>
        <v/>
      </c>
      <c r="B30" s="140"/>
      <c r="C30" s="86"/>
      <c r="D30" s="85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8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42" t="str">
        <f t="shared" si="15"/>
        <v/>
      </c>
    </row>
    <row r="31" spans="1:22" x14ac:dyDescent="0.2">
      <c r="A31" s="139" t="str">
        <f t="shared" si="12"/>
        <v/>
      </c>
      <c r="B31" s="140"/>
      <c r="C31" s="86"/>
      <c r="D31" s="85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8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42" t="str">
        <f t="shared" si="15"/>
        <v/>
      </c>
    </row>
    <row r="32" spans="1:22" x14ac:dyDescent="0.2">
      <c r="A32" s="139" t="str">
        <f t="shared" si="12"/>
        <v/>
      </c>
      <c r="B32" s="140"/>
      <c r="C32" s="86"/>
      <c r="D32" s="85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8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42" t="str">
        <f t="shared" si="15"/>
        <v/>
      </c>
    </row>
    <row r="33" spans="1:21" s="5" customFormat="1" x14ac:dyDescent="0.2">
      <c r="A33" s="151" t="s">
        <v>13</v>
      </c>
      <c r="B33" s="152"/>
      <c r="C33" s="152"/>
      <c r="D33" s="153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39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35"/>
      <c r="B35" s="136"/>
      <c r="C35" s="136"/>
      <c r="D35" s="137"/>
      <c r="E35" s="87"/>
      <c r="F35" s="87"/>
      <c r="G35" s="87"/>
      <c r="H35" s="87"/>
      <c r="I35" s="87"/>
      <c r="J35" s="10"/>
      <c r="K35" s="11">
        <f t="shared" ref="K35:K40" si="16">SUM(E35:I35)</f>
        <v>0</v>
      </c>
    </row>
    <row r="36" spans="1:21" ht="12.75" x14ac:dyDescent="0.2">
      <c r="A36" s="135"/>
      <c r="B36" s="136"/>
      <c r="C36" s="136"/>
      <c r="D36" s="137"/>
      <c r="E36" s="87"/>
      <c r="F36" s="87"/>
      <c r="G36" s="87"/>
      <c r="H36" s="87"/>
      <c r="I36" s="87"/>
      <c r="J36" s="10"/>
      <c r="K36" s="11">
        <f t="shared" si="16"/>
        <v>0</v>
      </c>
      <c r="N36" s="8" t="s">
        <v>200</v>
      </c>
      <c r="O36" s="69">
        <v>221900</v>
      </c>
      <c r="P36" s="132"/>
    </row>
    <row r="37" spans="1:21" ht="12.75" x14ac:dyDescent="0.2">
      <c r="A37" s="135"/>
      <c r="B37" s="136"/>
      <c r="C37" s="136"/>
      <c r="D37" s="137"/>
      <c r="E37" s="87"/>
      <c r="F37" s="87"/>
      <c r="G37" s="87"/>
      <c r="H37" s="87"/>
      <c r="I37" s="87"/>
      <c r="J37" s="10"/>
      <c r="K37" s="11">
        <f t="shared" si="16"/>
        <v>0</v>
      </c>
      <c r="N37" s="8" t="s">
        <v>196</v>
      </c>
      <c r="O37" s="8">
        <v>0.28499999999999998</v>
      </c>
      <c r="P37" s="133" t="s">
        <v>195</v>
      </c>
    </row>
    <row r="38" spans="1:21" x14ac:dyDescent="0.2">
      <c r="A38" s="135"/>
      <c r="B38" s="136"/>
      <c r="C38" s="136"/>
      <c r="D38" s="137"/>
      <c r="E38" s="87"/>
      <c r="F38" s="87"/>
      <c r="G38" s="87"/>
      <c r="H38" s="87"/>
      <c r="I38" s="87"/>
      <c r="J38" s="10"/>
      <c r="K38" s="11">
        <f t="shared" si="16"/>
        <v>0</v>
      </c>
      <c r="N38" s="116" t="s">
        <v>180</v>
      </c>
      <c r="O38" s="69">
        <v>3432</v>
      </c>
    </row>
    <row r="39" spans="1:21" ht="12.75" x14ac:dyDescent="0.2">
      <c r="A39" s="135"/>
      <c r="B39" s="136"/>
      <c r="C39" s="136"/>
      <c r="D39" s="137"/>
      <c r="E39" s="87"/>
      <c r="F39" s="87"/>
      <c r="G39" s="87"/>
      <c r="H39" s="87"/>
      <c r="I39" s="87"/>
      <c r="J39" s="10"/>
      <c r="K39" s="11">
        <f t="shared" si="16"/>
        <v>0</v>
      </c>
      <c r="N39" s="8" t="s">
        <v>181</v>
      </c>
      <c r="O39" s="69">
        <v>4746</v>
      </c>
      <c r="P39" s="133"/>
    </row>
    <row r="40" spans="1:21" x14ac:dyDescent="0.2">
      <c r="A40" s="135"/>
      <c r="B40" s="136"/>
      <c r="C40" s="136"/>
      <c r="D40" s="137"/>
      <c r="E40" s="87"/>
      <c r="F40" s="87"/>
      <c r="G40" s="87"/>
      <c r="H40" s="87"/>
      <c r="I40" s="87"/>
      <c r="J40" s="10"/>
      <c r="K40" s="11">
        <f t="shared" si="16"/>
        <v>0</v>
      </c>
      <c r="N40" s="8" t="s">
        <v>194</v>
      </c>
      <c r="O40" s="69">
        <v>30000</v>
      </c>
    </row>
    <row r="41" spans="1:21" s="5" customFormat="1" x14ac:dyDescent="0.2">
      <c r="A41" s="151" t="s">
        <v>13</v>
      </c>
      <c r="B41" s="152"/>
      <c r="C41" s="152"/>
      <c r="D41" s="153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39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  <c r="N42" s="131"/>
      <c r="R42" s="3"/>
    </row>
    <row r="43" spans="1:21" x14ac:dyDescent="0.2">
      <c r="A43" s="139"/>
      <c r="B43" s="141"/>
      <c r="C43" s="141"/>
      <c r="D43" s="140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51" t="s">
        <v>13</v>
      </c>
      <c r="B44" s="152"/>
      <c r="C44" s="152"/>
      <c r="D44" s="153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39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35"/>
      <c r="B46" s="136"/>
      <c r="C46" s="136"/>
      <c r="D46" s="137"/>
      <c r="E46" s="87"/>
      <c r="F46" s="87"/>
      <c r="G46" s="87"/>
      <c r="H46" s="87"/>
      <c r="I46" s="87"/>
      <c r="J46" s="10"/>
      <c r="K46" s="11">
        <f>ROUND(SUM(E46:I46),0)</f>
        <v>0</v>
      </c>
    </row>
    <row r="47" spans="1:21" x14ac:dyDescent="0.2">
      <c r="A47" s="135"/>
      <c r="B47" s="136"/>
      <c r="C47" s="136"/>
      <c r="D47" s="137"/>
      <c r="E47" s="87"/>
      <c r="F47" s="87"/>
      <c r="G47" s="87"/>
      <c r="H47" s="87"/>
      <c r="I47" s="87"/>
      <c r="J47" s="10"/>
      <c r="K47" s="11">
        <f>ROUND(SUM(E47:I47),0)</f>
        <v>0</v>
      </c>
    </row>
    <row r="48" spans="1:21" x14ac:dyDescent="0.2">
      <c r="A48" s="135"/>
      <c r="B48" s="136"/>
      <c r="C48" s="136"/>
      <c r="D48" s="137"/>
      <c r="E48" s="87"/>
      <c r="F48" s="87"/>
      <c r="G48" s="87"/>
      <c r="H48" s="87"/>
      <c r="I48" s="87"/>
      <c r="J48" s="10"/>
      <c r="K48" s="11">
        <f>ROUND(SUM(E48:I48),0)</f>
        <v>0</v>
      </c>
    </row>
    <row r="49" spans="1:11" x14ac:dyDescent="0.2">
      <c r="A49" s="135"/>
      <c r="B49" s="136"/>
      <c r="C49" s="136"/>
      <c r="D49" s="137"/>
      <c r="E49" s="87"/>
      <c r="F49" s="87"/>
      <c r="G49" s="87"/>
      <c r="H49" s="87"/>
      <c r="I49" s="87"/>
      <c r="J49" s="10"/>
      <c r="K49" s="11">
        <f>ROUND(SUM(E49:I49),0)</f>
        <v>0</v>
      </c>
    </row>
    <row r="50" spans="1:11" s="5" customFormat="1" x14ac:dyDescent="0.2">
      <c r="A50" s="151" t="s">
        <v>13</v>
      </c>
      <c r="B50" s="152"/>
      <c r="C50" s="152"/>
      <c r="D50" s="153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39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35"/>
      <c r="B52" s="136"/>
      <c r="C52" s="136"/>
      <c r="D52" s="137"/>
      <c r="E52" s="87"/>
      <c r="F52" s="87"/>
      <c r="G52" s="87"/>
      <c r="H52" s="87"/>
      <c r="I52" s="87"/>
      <c r="J52" s="10"/>
      <c r="K52" s="11">
        <f>ROUND(SUM(E52:I52),0)</f>
        <v>0</v>
      </c>
    </row>
    <row r="53" spans="1:11" x14ac:dyDescent="0.2">
      <c r="A53" s="135"/>
      <c r="B53" s="136"/>
      <c r="C53" s="136"/>
      <c r="D53" s="137"/>
      <c r="E53" s="87"/>
      <c r="F53" s="87"/>
      <c r="G53" s="87"/>
      <c r="H53" s="87"/>
      <c r="I53" s="87"/>
      <c r="J53" s="10"/>
      <c r="K53" s="11">
        <f>ROUND(SUM(E53:I53),0)</f>
        <v>0</v>
      </c>
    </row>
    <row r="54" spans="1:11" s="5" customFormat="1" x14ac:dyDescent="0.2">
      <c r="A54" s="151" t="s">
        <v>13</v>
      </c>
      <c r="B54" s="152"/>
      <c r="C54" s="152"/>
      <c r="D54" s="153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39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35"/>
      <c r="B56" s="136"/>
      <c r="C56" s="136"/>
      <c r="D56" s="137"/>
      <c r="E56" s="87"/>
      <c r="F56" s="87"/>
      <c r="G56" s="87"/>
      <c r="H56" s="87"/>
      <c r="I56" s="87"/>
      <c r="J56" s="10"/>
      <c r="K56" s="11">
        <f>ROUND(SUM(E56:I56),0)</f>
        <v>0</v>
      </c>
    </row>
    <row r="57" spans="1:11" s="5" customFormat="1" x14ac:dyDescent="0.2">
      <c r="A57" s="135"/>
      <c r="B57" s="136"/>
      <c r="C57" s="136"/>
      <c r="D57" s="137"/>
      <c r="E57" s="87"/>
      <c r="F57" s="87"/>
      <c r="G57" s="87"/>
      <c r="H57" s="87"/>
      <c r="I57" s="87"/>
      <c r="J57" s="10"/>
      <c r="K57" s="11">
        <f>ROUND(SUM(E57:I57),0)</f>
        <v>0</v>
      </c>
    </row>
    <row r="58" spans="1:11" s="5" customFormat="1" x14ac:dyDescent="0.2">
      <c r="A58" s="151" t="s">
        <v>13</v>
      </c>
      <c r="B58" s="152"/>
      <c r="C58" s="152"/>
      <c r="D58" s="153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39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39" t="str">
        <f>IF(ISBLANK(SUBCONTRACTS!B4),"",SUBCONTRACTS!B4)</f>
        <v/>
      </c>
      <c r="B60" s="141"/>
      <c r="C60" s="141"/>
      <c r="D60" s="140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39" t="str">
        <f>IF(ISBLANK(SUBCONTRACTS!B13),"",SUBCONTRACTS!B13)</f>
        <v/>
      </c>
      <c r="B61" s="141"/>
      <c r="C61" s="141"/>
      <c r="D61" s="140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39" t="str">
        <f>IF(ISBLANK(SUBCONTRACTS!B22),"",SUBCONTRACTS!B22)</f>
        <v/>
      </c>
      <c r="B62" s="141"/>
      <c r="C62" s="141"/>
      <c r="D62" s="140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39" t="str">
        <f>IF(ISBLANK(SUBCONTRACTS!B31),"",SUBCONTRACTS!B31)</f>
        <v/>
      </c>
      <c r="B63" s="141"/>
      <c r="C63" s="141"/>
      <c r="D63" s="140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39" t="str">
        <f>IF(ISBLANK(SUBCONTRACTS!B40),"",SUBCONTRACTS!B40)</f>
        <v/>
      </c>
      <c r="B64" s="141"/>
      <c r="C64" s="141"/>
      <c r="D64" s="140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51" t="s">
        <v>13</v>
      </c>
      <c r="B65" s="152"/>
      <c r="C65" s="152"/>
      <c r="D65" s="153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39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35"/>
      <c r="B67" s="136"/>
      <c r="C67" s="136"/>
      <c r="D67" s="137"/>
      <c r="E67" s="87"/>
      <c r="F67" s="87"/>
      <c r="G67" s="87"/>
      <c r="H67" s="87"/>
      <c r="I67" s="87"/>
      <c r="J67" s="8"/>
      <c r="K67" s="11">
        <f>ROUND(SUM(E67:I67),0)</f>
        <v>0</v>
      </c>
    </row>
    <row r="68" spans="1:16" x14ac:dyDescent="0.2">
      <c r="A68" s="135"/>
      <c r="B68" s="136"/>
      <c r="C68" s="136"/>
      <c r="D68" s="137"/>
      <c r="E68" s="87"/>
      <c r="F68" s="87"/>
      <c r="G68" s="87"/>
      <c r="H68" s="87"/>
      <c r="I68" s="87"/>
      <c r="J68" s="8"/>
      <c r="K68" s="11">
        <f>ROUND(SUM(E68:I68),0)</f>
        <v>0</v>
      </c>
    </row>
    <row r="69" spans="1:16" x14ac:dyDescent="0.2">
      <c r="A69" s="135"/>
      <c r="B69" s="136"/>
      <c r="C69" s="136"/>
      <c r="D69" s="137"/>
      <c r="E69" s="87"/>
      <c r="F69" s="87"/>
      <c r="G69" s="87"/>
      <c r="H69" s="87"/>
      <c r="I69" s="87"/>
      <c r="J69" s="8"/>
      <c r="K69" s="11">
        <f>ROUND(SUM(E69:I69),0)</f>
        <v>0</v>
      </c>
    </row>
    <row r="70" spans="1:16" x14ac:dyDescent="0.2">
      <c r="A70" s="135"/>
      <c r="B70" s="136"/>
      <c r="C70" s="136"/>
      <c r="D70" s="137"/>
      <c r="E70" s="87"/>
      <c r="F70" s="87"/>
      <c r="G70" s="87"/>
      <c r="H70" s="87"/>
      <c r="I70" s="87"/>
      <c r="J70" s="8"/>
      <c r="K70" s="11">
        <f>ROUND(SUM(E70:I70),0)</f>
        <v>0</v>
      </c>
    </row>
    <row r="71" spans="1:16" s="5" customFormat="1" x14ac:dyDescent="0.2">
      <c r="A71" s="151" t="s">
        <v>13</v>
      </c>
      <c r="B71" s="152"/>
      <c r="C71" s="152"/>
      <c r="D71" s="153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39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54">
        <f>COUNTIF(C23:C32,"GRA")</f>
        <v>0</v>
      </c>
      <c r="B73" s="154"/>
      <c r="C73" s="154"/>
      <c r="D73" s="155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51" t="s">
        <v>13</v>
      </c>
      <c r="B74" s="152"/>
      <c r="C74" s="152"/>
      <c r="D74" s="153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39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35" t="s">
        <v>199</v>
      </c>
      <c r="B76" s="136"/>
      <c r="C76" s="136"/>
      <c r="D76" s="137"/>
      <c r="E76" s="87"/>
      <c r="F76" s="87"/>
      <c r="G76" s="87"/>
      <c r="H76" s="87"/>
      <c r="I76" s="87"/>
      <c r="J76" s="8"/>
      <c r="K76" s="11">
        <f>ROUND(SUM(E76:I76),0)</f>
        <v>0</v>
      </c>
    </row>
    <row r="77" spans="1:16" x14ac:dyDescent="0.2">
      <c r="A77" s="135"/>
      <c r="B77" s="136"/>
      <c r="C77" s="136"/>
      <c r="D77" s="137"/>
      <c r="E77" s="87">
        <v>0</v>
      </c>
      <c r="F77" s="87">
        <v>0</v>
      </c>
      <c r="G77" s="87">
        <v>0</v>
      </c>
      <c r="H77" s="87">
        <v>0</v>
      </c>
      <c r="I77" s="87">
        <v>0</v>
      </c>
      <c r="J77" s="8"/>
      <c r="K77" s="11">
        <f>ROUND(SUM(E77:I77),0)</f>
        <v>0</v>
      </c>
    </row>
    <row r="78" spans="1:16" x14ac:dyDescent="0.2">
      <c r="A78" s="135"/>
      <c r="B78" s="136"/>
      <c r="C78" s="136"/>
      <c r="D78" s="137"/>
      <c r="E78" s="87"/>
      <c r="F78" s="87"/>
      <c r="G78" s="87"/>
      <c r="H78" s="87"/>
      <c r="I78" s="87"/>
      <c r="J78" s="8"/>
      <c r="K78" s="11">
        <f>ROUND(SUM(E78:I78),0)</f>
        <v>0</v>
      </c>
      <c r="O78" s="117"/>
      <c r="P78" s="118"/>
    </row>
    <row r="79" spans="1:16" x14ac:dyDescent="0.2">
      <c r="A79" s="135"/>
      <c r="B79" s="136"/>
      <c r="C79" s="136"/>
      <c r="D79" s="137"/>
      <c r="E79" s="87"/>
      <c r="F79" s="87"/>
      <c r="G79" s="87"/>
      <c r="H79" s="87"/>
      <c r="I79" s="87"/>
      <c r="J79" s="8"/>
      <c r="K79" s="11">
        <f>ROUND(SUM(E79:I79),0)</f>
        <v>0</v>
      </c>
      <c r="O79" s="117"/>
      <c r="P79" s="118"/>
    </row>
    <row r="80" spans="1:16" s="5" customFormat="1" x14ac:dyDescent="0.2">
      <c r="A80" s="151" t="s">
        <v>13</v>
      </c>
      <c r="B80" s="152"/>
      <c r="C80" s="152"/>
      <c r="D80" s="153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17"/>
      <c r="P80" s="118"/>
    </row>
    <row r="81" spans="1:16" s="4" customFormat="1" x14ac:dyDescent="0.2">
      <c r="A81" s="39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17"/>
      <c r="P81" s="118"/>
    </row>
    <row r="82" spans="1:16" x14ac:dyDescent="0.2">
      <c r="A82" s="156" t="s">
        <v>3</v>
      </c>
      <c r="B82" s="157"/>
      <c r="C82" s="157"/>
      <c r="D82" s="158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0"/>
      <c r="O82" s="117"/>
      <c r="P82" s="118"/>
    </row>
    <row r="83" spans="1:16" x14ac:dyDescent="0.2">
      <c r="A83" s="156" t="s">
        <v>16</v>
      </c>
      <c r="B83" s="157"/>
      <c r="C83" s="157"/>
      <c r="D83" s="158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01"/>
      <c r="O83" s="117"/>
      <c r="P83" s="118"/>
    </row>
    <row r="84" spans="1:16" x14ac:dyDescent="0.2">
      <c r="A84" s="156" t="s">
        <v>18</v>
      </c>
      <c r="B84" s="157"/>
      <c r="C84" s="157"/>
      <c r="D84" s="158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8" t="s">
        <v>198</v>
      </c>
      <c r="P84" s="8"/>
    </row>
    <row r="85" spans="1:16" x14ac:dyDescent="0.2">
      <c r="A85" s="156" t="s">
        <v>19</v>
      </c>
      <c r="B85" s="157"/>
      <c r="C85" s="157"/>
      <c r="D85" s="158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19"/>
      <c r="P85" s="42"/>
    </row>
    <row r="86" spans="1:16" x14ac:dyDescent="0.2">
      <c r="A86" s="156" t="s">
        <v>21</v>
      </c>
      <c r="B86" s="157"/>
      <c r="C86" s="157"/>
      <c r="D86" s="158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19">
        <v>44409</v>
      </c>
      <c r="P86" s="120">
        <f>((11/12)*0.56)+((1/12)*0.565)</f>
        <v>0.56041666666666667</v>
      </c>
    </row>
    <row r="87" spans="1:16" x14ac:dyDescent="0.2">
      <c r="A87" s="156" t="s">
        <v>58</v>
      </c>
      <c r="B87" s="157"/>
      <c r="C87" s="157"/>
      <c r="D87" s="158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19">
        <v>44440</v>
      </c>
      <c r="P87" s="120">
        <f>((10/12)*0.56)+((2/12)*0.565)</f>
        <v>0.56083333333333341</v>
      </c>
    </row>
    <row r="88" spans="1:16" x14ac:dyDescent="0.2">
      <c r="A88" s="156" t="s">
        <v>59</v>
      </c>
      <c r="B88" s="157"/>
      <c r="C88" s="157"/>
      <c r="D88" s="158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19">
        <v>44470</v>
      </c>
      <c r="P88" s="120">
        <f>((9/12)*0.56)+((3/12)*0.565)</f>
        <v>0.56125000000000003</v>
      </c>
    </row>
    <row r="89" spans="1:16" x14ac:dyDescent="0.2">
      <c r="A89" s="156" t="s">
        <v>20</v>
      </c>
      <c r="B89" s="157"/>
      <c r="C89" s="157"/>
      <c r="D89" s="158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19">
        <v>44501</v>
      </c>
      <c r="P89" s="120">
        <f>((8/12)*0.56)+((4/12)*0.565)</f>
        <v>0.56166666666666665</v>
      </c>
    </row>
    <row r="90" spans="1:16" x14ac:dyDescent="0.2">
      <c r="A90" s="156" t="s">
        <v>22</v>
      </c>
      <c r="B90" s="157"/>
      <c r="C90" s="157"/>
      <c r="D90" s="158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  <c r="O90" s="119">
        <v>44531</v>
      </c>
      <c r="P90" s="120">
        <f>((7/12)*0.56)+((5/12)*0.565)</f>
        <v>0.56208333333333338</v>
      </c>
    </row>
    <row r="91" spans="1:16" x14ac:dyDescent="0.2">
      <c r="A91" s="156" t="s">
        <v>23</v>
      </c>
      <c r="B91" s="157"/>
      <c r="C91" s="157"/>
      <c r="D91" s="158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  <c r="O91" s="119">
        <v>44562</v>
      </c>
      <c r="P91" s="120">
        <f>((6/12)*0.56)+((6/12)*0.565)</f>
        <v>0.5625</v>
      </c>
    </row>
    <row r="92" spans="1:16" x14ac:dyDescent="0.2">
      <c r="A92" s="156" t="s">
        <v>24</v>
      </c>
      <c r="B92" s="157"/>
      <c r="C92" s="157"/>
      <c r="D92" s="158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  <c r="O92" s="119">
        <v>44593</v>
      </c>
      <c r="P92" s="120">
        <f>((5/12)*0.56)+((7/12)*0.565)</f>
        <v>0.56291666666666673</v>
      </c>
    </row>
    <row r="93" spans="1:16" s="5" customFormat="1" x14ac:dyDescent="0.2">
      <c r="A93" s="151" t="s">
        <v>75</v>
      </c>
      <c r="B93" s="152"/>
      <c r="C93" s="152"/>
      <c r="D93" s="153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19">
        <v>44621</v>
      </c>
      <c r="P93" s="120">
        <f>((4/12)*0.56)+((8/12)*0.565)</f>
        <v>0.56333333333333324</v>
      </c>
    </row>
    <row r="94" spans="1:16" x14ac:dyDescent="0.2">
      <c r="O94" s="119">
        <v>44652</v>
      </c>
      <c r="P94" s="120">
        <f>(0.25*0.56)+(0.75*0.565)</f>
        <v>0.56374999999999997</v>
      </c>
    </row>
    <row r="95" spans="1:16" s="5" customFormat="1" x14ac:dyDescent="0.2">
      <c r="A95" s="151" t="s">
        <v>29</v>
      </c>
      <c r="B95" s="152"/>
      <c r="C95" s="152"/>
      <c r="D95" s="153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19">
        <v>44682</v>
      </c>
      <c r="P95" s="120">
        <f>((2/12)*0.56)+((10/12)*0.565)</f>
        <v>0.56416666666666671</v>
      </c>
    </row>
    <row r="96" spans="1:16" ht="12.75" customHeight="1" x14ac:dyDescent="0.2">
      <c r="A96" s="160" t="s">
        <v>38</v>
      </c>
      <c r="B96" s="160"/>
      <c r="C96" s="160"/>
      <c r="D96" s="160"/>
      <c r="E96" s="134">
        <v>0.56499999999999995</v>
      </c>
      <c r="F96" s="59">
        <f>IF(F8=O86,P86,IF(F8=O87,P87,IF(F8=O88,P88,IF(F8=O89,P89,IF(F8=O89,P89,IF(F8=O90,P90,IF(F8=O91,P91,IF(F8=O92,P92,IF(F8=O93,P93,IF(F8=O94,P94,IF(F8=O95,P95,IF(F8=O96,P96,IF(F8=O97,P97,0.565)))))))))))))</f>
        <v>0.56499999999999995</v>
      </c>
      <c r="G96" s="134">
        <f>IF(G8=O86,P86,IF(G8=O87,P87,IF(G8=O88,P88,IF(G8=O89,P89,IF(G8=O89,P89,IF(G8=O90,P90,IF(G8=O91,P91,IF(G8=O92,P92,IF(G8=O93,P93,IF(G8=O94,P94,IF(G8=O95,P95,IF(G8=O96,P96,IF(G8=O97,P97,0.565)))))))))))))</f>
        <v>0.56499999999999995</v>
      </c>
      <c r="H96" s="59">
        <f>IF(H8=O86,P86,IF(H8=O87,P87,IF(H8=O88,P88,IF(H8=O89,P89,IF(H8=O89,P89,IF(H8=O90,P90,IF(H8=O91,P91,IF(H8=O92,P92,IF(H8=O93,P93,IF(H8=O94,P94,IF(H8=O95,P95,IF(H8=O96,P96,IF(H8=O97,P97,0.565)))))))))))))</f>
        <v>0.56499999999999995</v>
      </c>
      <c r="I96" s="59">
        <f>IF(I8=O86,P86,IF(I8=O87,P87,IF(I8=O88,P88,IF(I8=O89,P89,IF(I8=O89,P89,IF(I8=O90,P90,IF(I8=O91,P91,IF(I8=O92,P92,IF(I8=O93,P93,IF(I8=O94,P94,IF(I8=O95,P95,IF(I8=O96,P96,IF(I8=O97,P97,0.565)))))))))))))</f>
        <v>0.56499999999999995</v>
      </c>
      <c r="O96" s="119">
        <v>44713</v>
      </c>
      <c r="P96" s="120">
        <f>((1/12)*0.56)+((11/12)*0.565)</f>
        <v>0.56458333333333321</v>
      </c>
    </row>
    <row r="97" spans="1:16" s="5" customFormat="1" x14ac:dyDescent="0.2">
      <c r="A97" s="151" t="s">
        <v>76</v>
      </c>
      <c r="B97" s="152"/>
      <c r="C97" s="152"/>
      <c r="D97" s="153"/>
      <c r="E97" s="13">
        <f>ROUND(E95*E96,0)</f>
        <v>141250</v>
      </c>
      <c r="F97" s="13">
        <f>ROUND(F95*F96,0)</f>
        <v>141250</v>
      </c>
      <c r="G97" s="13">
        <f>ROUND(G95*G96,0)</f>
        <v>141250</v>
      </c>
      <c r="H97" s="13">
        <f>ROUND(H95*H96,0)</f>
        <v>141250</v>
      </c>
      <c r="I97" s="13">
        <f>ROUND(I95*I96,0)</f>
        <v>141250</v>
      </c>
      <c r="J97" s="13"/>
      <c r="K97" s="13">
        <f>ROUND(SUM(E97:I97),0)</f>
        <v>706250</v>
      </c>
      <c r="O97" s="119">
        <v>44743</v>
      </c>
      <c r="P97" s="120">
        <v>0.56499999999999995</v>
      </c>
    </row>
    <row r="99" spans="1:16" x14ac:dyDescent="0.2">
      <c r="A99" s="161" t="s">
        <v>39</v>
      </c>
      <c r="B99" s="162"/>
      <c r="C99" s="162"/>
      <c r="D99" s="163"/>
      <c r="E99" s="19">
        <f>ROUND(SUM(E93,E97),0)</f>
        <v>391250</v>
      </c>
      <c r="F99" s="19">
        <f>ROUND(SUM(F93,F97),0)</f>
        <v>391250</v>
      </c>
      <c r="G99" s="19">
        <f>ROUND(SUM(G93,G97),0)</f>
        <v>391250</v>
      </c>
      <c r="H99" s="19">
        <f>ROUND(SUM(H93,H97),0)</f>
        <v>391250</v>
      </c>
      <c r="I99" s="19">
        <f>ROUND(SUM(I93,I97),0)</f>
        <v>391250</v>
      </c>
      <c r="J99" s="19"/>
      <c r="K99" s="19">
        <f>ROUND(SUM(E99,F99,G99,H99,I99),0)</f>
        <v>1956250</v>
      </c>
    </row>
    <row r="101" spans="1:16" ht="12.75" customHeight="1" x14ac:dyDescent="0.2">
      <c r="A101" s="164" t="s">
        <v>60</v>
      </c>
      <c r="B101" s="164"/>
      <c r="C101" s="164"/>
      <c r="D101" s="164"/>
      <c r="E101" s="91">
        <v>250000</v>
      </c>
      <c r="F101" s="91">
        <v>250000</v>
      </c>
      <c r="G101" s="91">
        <v>250000</v>
      </c>
      <c r="H101" s="91">
        <v>250000</v>
      </c>
      <c r="I101" s="91">
        <v>250000</v>
      </c>
      <c r="J101" s="8"/>
      <c r="K101" s="57">
        <f>SUM(E101:I101)</f>
        <v>1250000</v>
      </c>
    </row>
    <row r="103" spans="1:16" x14ac:dyDescent="0.2">
      <c r="A103" s="68" t="s">
        <v>101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1:16" x14ac:dyDescent="0.2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</row>
    <row r="106" spans="1:16" x14ac:dyDescent="0.2">
      <c r="F106" s="103"/>
      <c r="G106" s="101"/>
    </row>
    <row r="108" spans="1:16" x14ac:dyDescent="0.2">
      <c r="E108" s="102"/>
    </row>
    <row r="109" spans="1:16" x14ac:dyDescent="0.2">
      <c r="E109" s="102"/>
    </row>
  </sheetData>
  <mergeCells count="75"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  <mergeCell ref="A101:D101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86:D86"/>
    <mergeCell ref="A64:D64"/>
    <mergeCell ref="A67:D67"/>
    <mergeCell ref="A68:D68"/>
    <mergeCell ref="A69:D69"/>
    <mergeCell ref="A74:D74"/>
    <mergeCell ref="A65:D65"/>
    <mergeCell ref="A70:D70"/>
    <mergeCell ref="A73:D73"/>
    <mergeCell ref="A71:D7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33:D33"/>
    <mergeCell ref="A60:D60"/>
    <mergeCell ref="A61:D61"/>
    <mergeCell ref="A50:D50"/>
    <mergeCell ref="A48:D48"/>
    <mergeCell ref="A47:D47"/>
    <mergeCell ref="A57:D57"/>
    <mergeCell ref="A58:D58"/>
    <mergeCell ref="A41:D41"/>
    <mergeCell ref="A36:D36"/>
    <mergeCell ref="A37:D37"/>
    <mergeCell ref="A38:D38"/>
    <mergeCell ref="A56:D56"/>
    <mergeCell ref="A54:D54"/>
    <mergeCell ref="A44:D44"/>
    <mergeCell ref="A49:D49"/>
    <mergeCell ref="A52:D52"/>
    <mergeCell ref="A46:D46"/>
    <mergeCell ref="A76:D76"/>
    <mergeCell ref="A2:V2"/>
    <mergeCell ref="A31:B31"/>
    <mergeCell ref="A32:B32"/>
    <mergeCell ref="A35:D35"/>
    <mergeCell ref="A43:D43"/>
    <mergeCell ref="B3:I3"/>
    <mergeCell ref="B4:I4"/>
    <mergeCell ref="B5:I5"/>
    <mergeCell ref="B6:I6"/>
    <mergeCell ref="B7:I7"/>
    <mergeCell ref="N8:N9"/>
    <mergeCell ref="A21:D21"/>
    <mergeCell ref="A62:D62"/>
    <mergeCell ref="A63:D63"/>
    <mergeCell ref="A53:D53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 xr:uid="{00000000-0002-0000-0000-000000000000}">
      <formula1>200</formula1>
    </dataValidation>
    <dataValidation allowBlank="1" showErrorMessage="1" promptTitle="PI name" prompt="Fill in the Principal Investigator's name (e.g., Mike Burry, MD)." sqref="B3:I3" xr:uid="{00000000-0002-0000-0000-000001000000}"/>
    <dataValidation allowBlank="1" showErrorMessage="1" promptTitle="Start date" prompt="No entry required - calculated from Start Date in Year 1." sqref="B5:I5" xr:uid="{00000000-0002-0000-0000-000002000000}"/>
    <dataValidation allowBlank="1" showErrorMessage="1" promptTitle="End date" prompt="No entry required - calculated from End Date in Year 5." sqref="B6:I6" xr:uid="{00000000-0002-0000-0000-000003000000}"/>
    <dataValidation allowBlank="1" showErrorMessage="1" promptTitle="Salary names" prompt="Fill in the first name and last name of each person on the project (e.g., Mike Burry)" sqref="A11:A20" xr:uid="{00000000-0002-0000-0000-000004000000}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 xr:uid="{00000000-0002-0000-0000-000005000000}"/>
    <dataValidation allowBlank="1" showErrorMessage="1" promptTitle="Adjusted salary" prompt="The Adj salary is a pro-rated calculation of cost-of-living increases between their current salary and their salary at the time the project will begin." sqref="C11:C20" xr:uid="{00000000-0002-0000-0000-000006000000}"/>
    <dataValidation allowBlank="1" showErrorMessage="1" promptTitle="Calendar months" prompt="Calculates the calendar months' effort this person will spend on the project, based on their effort %." sqref="L11:L20" xr:uid="{00000000-0002-0000-0000-000007000000}"/>
    <dataValidation allowBlank="1" showErrorMessage="1" promptTitle="Cost share salaries" prompt="This cell is filled in automatically with the name if the amount in the Current Salary cell is over the current NIH cap." sqref="N11:N20" xr:uid="{00000000-0002-0000-0000-000008000000}"/>
    <dataValidation allowBlank="1" showErrorMessage="1" promptTitle="Annual salary calculations" prompt="These are calculated automatically based on the Adjusted Salary x the effort %, with a cost-of-living allowance added Years 2 and up." sqref="E11:I20" xr:uid="{00000000-0002-0000-0000-000009000000}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 xr:uid="{00000000-0002-0000-0000-00000A000000}"/>
    <dataValidation allowBlank="1" showErrorMessage="1" promptTitle="Cost share speedtype" prompt="Fill in the 5-character speedtype to be used for the cost share funding (usually a letter plus 4 numbers).  CANNOT be a grant speedtype." sqref="V11:V20" xr:uid="{00000000-0002-0000-0000-00000B000000}"/>
    <dataValidation allowBlank="1" showErrorMessage="1" promptTitle="Fringe benefit names" prompt="Automatically filled in based with the names from the corresponding Salaries cells above." sqref="A23:B32" xr:uid="{00000000-0002-0000-0000-00000C000000}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 xr:uid="{00000000-0002-0000-0000-00000D000000}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 xr:uid="{00000000-0002-0000-0000-00000E000000}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 xr:uid="{00000000-0002-0000-0000-00000F000000}"/>
    <dataValidation allowBlank="1" showErrorMessage="1" promptTitle="Total salary support" prompt="Each cell is the total amount of salary requested from the sponsor for this person." sqref="K11:K20" xr:uid="{00000000-0002-0000-0000-000010000000}"/>
    <dataValidation allowBlank="1" showErrorMessage="1" promptTitle="Project sponsor salary support" prompt="Total amount of salary requested from sponsor for all persons on this project." sqref="K21" xr:uid="{00000000-0002-0000-0000-000011000000}"/>
    <dataValidation allowBlank="1" showErrorMessage="1" promptTitle="Total fringe support" prompt="Each cell is the total amount of fringe support requested from the sponsor for this person." sqref="K23:K32" xr:uid="{00000000-0002-0000-0000-000012000000}"/>
    <dataValidation allowBlank="1" showErrorMessage="1" promptTitle="Salary subtotals" prompt="Sums the salary amounts requested from the sponsor for each year of the project." sqref="E21:I21" xr:uid="{00000000-0002-0000-0000-000013000000}"/>
    <dataValidation allowBlank="1" showErrorMessage="1" promptTitle="Annual fringe support" prompt="Sums the fringe benefits amounts requested from the sponsor for each year of the project." sqref="E33:I33" xr:uid="{00000000-0002-0000-0000-000014000000}"/>
    <dataValidation allowBlank="1" showErrorMessage="1" promptTitle="Project sponsor fringe support" prompt="Total amount of fringe benefits requested from sponsor for all persons on this project." sqref="K33" xr:uid="{00000000-0002-0000-0000-000015000000}"/>
    <dataValidation allowBlank="1" showErrorMessage="1" promptTitle="Annual cost share salary totals" prompt="Sums the cost share salary amounts for each year of the project." sqref="O21:S21" xr:uid="{00000000-0002-0000-0000-000016000000}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 xr:uid="{00000000-0002-0000-0000-000017000000}"/>
    <dataValidation allowBlank="1" showErrorMessage="1" promptTitle="Cost share salary project total" prompt="Total amount of cost share for salaries for the entire project." sqref="U21" xr:uid="{00000000-0002-0000-0000-000018000000}"/>
    <dataValidation allowBlank="1" showErrorMessage="1" promptTitle="Cost share fringe names" prompt="Automatically filled in based with the names from the corresponding Salaries cells above." sqref="N23:N32" xr:uid="{00000000-0002-0000-0000-000019000000}"/>
    <dataValidation allowBlank="1" showErrorMessage="1" promptTitle="Fringe cost share speedtype" prompt="Automatically filled in based on the speedtype listed on the salary lines as must use the same for salary and fringe." sqref="V23:V32" xr:uid="{00000000-0002-0000-0000-00001A000000}"/>
    <dataValidation allowBlank="1" showErrorMessage="1" promptTitle="Cost share fringe benefits" prompt="Automatically calculates by multiplying the salary amount in the corresponding cell above by the Fringe % listed to the far left.  " sqref="O23:S32" xr:uid="{00000000-0002-0000-0000-00001B000000}"/>
    <dataValidation allowBlank="1" showErrorMessage="1" promptTitle="Cost share fringe proj totals" prompt="Each cell is the total amount of fringe benefits costs required to be cost-shared for this person." sqref="U23:U32" xr:uid="{00000000-0002-0000-0000-00001C000000}"/>
    <dataValidation allowBlank="1" showErrorMessage="1" promptTitle="Annual cost share fringe totals" prompt="Sums the costs fringe benefits amounts for each year of the project." sqref="O33:S33" xr:uid="{00000000-0002-0000-0000-00001D000000}"/>
    <dataValidation allowBlank="1" showErrorMessage="1" promptTitle="Cost share fringe project total" prompt="Total amount of cost share fringe benefits required for the project." sqref="U33" xr:uid="{00000000-0002-0000-0000-00001E000000}"/>
    <dataValidation allowBlank="1" showErrorMessage="1" promptTitle="Project period start date" prompt="Date the project period begins for this year." sqref="F8:I8" xr:uid="{00000000-0002-0000-0000-00001F000000}"/>
    <dataValidation allowBlank="1" showErrorMessage="1" promptTitle="Project period end date" prompt="Date the project period ends for this year." sqref="E9:I9" xr:uid="{00000000-0002-0000-0000-000020000000}"/>
    <dataValidation allowBlank="1" showErrorMessage="1" promptTitle="Equipment" prompt="Fill in the name of the piece of equipment or equipment system you are requesting from the sponsor." sqref="A36:D40" xr:uid="{00000000-0002-0000-0000-000021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 xr:uid="{00000000-0002-0000-0000-000022000000}">
      <formula1>5000</formula1>
    </dataValidation>
    <dataValidation allowBlank="1" showErrorMessage="1" promptTitle="Annual equipment costs" prompt="Sums the equipment costs requested from the sponsor for each year of the project." sqref="E41:I41" xr:uid="{00000000-0002-0000-0000-000023000000}"/>
    <dataValidation allowBlank="1" showErrorMessage="1" promptTitle="Equipment subtotal" prompt="Each cell is the total amount of equipment funding requested from the sponsor." sqref="K35:K40" xr:uid="{00000000-0002-0000-0000-000024000000}"/>
    <dataValidation allowBlank="1" showErrorMessage="1" promptTitle="Supplies total" prompt="Each cell is the total amount of supplies funding requested from the sponsor." sqref="K43" xr:uid="{00000000-0002-0000-0000-000025000000}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 xr:uid="{00000000-0002-0000-0000-000026000000}">
      <formula1>0</formula1>
    </dataValidation>
    <dataValidation allowBlank="1" showErrorMessage="1" promptTitle="Annual supplies costs" prompt="Sums the supplies costs requested from the sponsor for each year of the project." sqref="E44:I44" xr:uid="{00000000-0002-0000-0000-000027000000}"/>
    <dataValidation allowBlank="1" showErrorMessage="1" promptTitle="Project sponsor supplies support" prompt="Total amount of supplies costs requested from sponsor for this project." sqref="K44" xr:uid="{00000000-0002-0000-0000-000028000000}"/>
    <dataValidation allowBlank="1" showErrorMessage="1" promptTitle="Patient care items" prompt="Fill in the type of patient care cost (e.g., CT scans)" sqref="A46:D49" xr:uid="{00000000-0002-0000-0000-000029000000}"/>
    <dataValidation allowBlank="1" showErrorMessage="1" promptTitle="Patient care costs" prompt="Fill in the amount of patient care costs for this year in this cell." sqref="F46:I49 E47:E49" xr:uid="{00000000-0002-0000-0000-00002A000000}"/>
    <dataValidation allowBlank="1" showErrorMessage="1" promptTitle="Total sponsor patient care costs" prompt="Each cell is the total amount of patient care costs support requested from the sponsor for this type of patient care." sqref="K46:K49" xr:uid="{00000000-0002-0000-0000-00002B000000}"/>
    <dataValidation allowBlank="1" showErrorMessage="1" promptTitle="Annual patient care costs" prompt="Sums the patient care costs requested from the sponsor for each year of the project." sqref="E50:I50" xr:uid="{00000000-0002-0000-0000-00002C000000}"/>
    <dataValidation allowBlank="1" showErrorMessage="1" promptTitle="Project sponsor pt care support" prompt="Total amount of patient care costs requested from sponsor for this project." sqref="K50" xr:uid="{00000000-0002-0000-0000-00002D000000}"/>
    <dataValidation allowBlank="1" showErrorMessage="1" promptTitle="Alteration/renovation items" prompt="Fill in a short description of the renovation or building alteration (e.g., hood installation)." sqref="A53:D53" xr:uid="{00000000-0002-0000-0000-00002E000000}"/>
    <dataValidation allowBlank="1" showErrorMessage="1" promptTitle="Alterations/renovations totals" prompt="Each cell is the total alteration/renovation costs for this line for the entire project." sqref="K52:K53" xr:uid="{00000000-0002-0000-0000-00002F000000}"/>
    <dataValidation allowBlank="1" showErrorMessage="1" promptTitle="Annual alterations/renov costs" prompt="Sums the alteration/renovation costs requested from the sponsor for each year of the project." sqref="E54:I54" xr:uid="{00000000-0002-0000-0000-000030000000}"/>
    <dataValidation allowBlank="1" showErrorMessage="1" promptTitle="Project sponsor alter/renov" prompt="Total amount of patient care costs requested from sponsor for this project." sqref="K54" xr:uid="{00000000-0002-0000-0000-000031000000}"/>
    <dataValidation allowBlank="1" showErrorMessage="1" promptTitle="Off site rental items" prompt="Fill in the description the of off-site rental cost (e.g., CTRB lobby rental)" sqref="A56:D57" xr:uid="{00000000-0002-0000-0000-000032000000}"/>
    <dataValidation allowBlank="1" showErrorMessage="1" promptTitle="Off-site rentals costs" prompt="Fill in the amount of off-site rental costs for this year in this cell." sqref="E56:I57" xr:uid="{00000000-0002-0000-0000-000033000000}"/>
    <dataValidation allowBlank="1" showErrorMessage="1" promptTitle="Annual off-site rental costs" prompt="Sums the off-site rentals costs requested from the sponsor for each year of the project." sqref="E58:I58" xr:uid="{00000000-0002-0000-0000-000034000000}"/>
    <dataValidation allowBlank="1" showErrorMessage="1" promptTitle="Off-site rentals totals" prompt="Each cell is the total off-site rentals costs for this line for the entire project." sqref="K56:K57" xr:uid="{00000000-0002-0000-0000-000035000000}"/>
    <dataValidation allowBlank="1" showErrorMessage="1" promptTitle="Project sponsor off-site rental" prompt="Total amount of off-site rentals costs requested from sponsor for this project." sqref="K58" xr:uid="{00000000-0002-0000-0000-000036000000}"/>
    <dataValidation allowBlank="1" showErrorMessage="1" promptTitle="Subcontractors" prompt="Automatically fills in the Institution names if the Subcontracts worksheet has been completed." sqref="A60:D64" xr:uid="{00000000-0002-0000-0000-000037000000}"/>
    <dataValidation allowBlank="1" showErrorMessage="1" promptTitle="Subcontractor costs" prompt="Automatically fills in the mount of the subcontractor total costs (direct and indirect) for this year in this cell.  " sqref="E60:I64" xr:uid="{00000000-0002-0000-0000-000038000000}"/>
    <dataValidation allowBlank="1" showErrorMessage="1" promptTitle="Annual subonctractor costs" prompt="Sums the subcontractor costs requested from the sponsor for each year of the project." sqref="E65:I65" xr:uid="{00000000-0002-0000-0000-000039000000}"/>
    <dataValidation allowBlank="1" showErrorMessage="1" promptTitle="Subcontract line total" prompt="Each cell is the total subcontractor costs for this line for the entire project." sqref="K60:K64" xr:uid="{00000000-0002-0000-0000-00003A000000}"/>
    <dataValidation allowBlank="1" showErrorMessage="1" promptTitle="Project sponsor subcontractor" prompt="Total amount of subcontractor costs requested from sponsor for this project" sqref="K65" xr:uid="{00000000-0002-0000-0000-00003B000000}"/>
    <dataValidation allowBlank="1" showErrorMessage="1" promptTitle="Travel items" prompt="Fill in the description the of each travel cost (e.g., PI to 1 national meeting)." sqref="A67:D70" xr:uid="{00000000-0002-0000-0000-00003C000000}"/>
    <dataValidation allowBlank="1" showErrorMessage="1" promptTitle="Travel costs" prompt="Fill in the amount of travel costs for this year in this cell.  " sqref="E67:I70" xr:uid="{00000000-0002-0000-0000-00003D000000}"/>
    <dataValidation allowBlank="1" showErrorMessage="1" promptTitle="Annual travel costs" prompt="Sums the travel costs requested from the sponsor for each year of the project." sqref="E71:I71" xr:uid="{00000000-0002-0000-0000-00003E000000}"/>
    <dataValidation allowBlank="1" showErrorMessage="1" promptTitle="Travel costs" prompt="Each cell is the total travel costs for this line for the entire project." sqref="K67:K70" xr:uid="{00000000-0002-0000-0000-00003F000000}"/>
    <dataValidation allowBlank="1" showErrorMessage="1" promptTitle="Project sponsor travel support" prompt="Total amount of travel costs requested from sponsor for this project_x000a__x000a_" sqref="K71" xr:uid="{00000000-0002-0000-0000-000040000000}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 xr:uid="{00000000-0002-0000-0000-000041000000}"/>
    <dataValidation allowBlank="1" showErrorMessage="1" promptTitle="Tuition costs" prompt="Automatically fills in the amount of tuition costs for this year in this cell, and adds a cost-of-living increase beginning in Year 2." sqref="E73:I73" xr:uid="{00000000-0002-0000-0000-000042000000}"/>
    <dataValidation allowBlank="1" showErrorMessage="1" promptTitle="Tuition costs" prompt="Each cell is the total tuition costs for this line for the entire project." sqref="K73" xr:uid="{00000000-0002-0000-0000-000043000000}"/>
    <dataValidation allowBlank="1" showErrorMessage="1" promptTitle="Annual tuition costs" prompt="Sums the tuition costs requested from the sponsor for each year of the project." sqref="E74:I74" xr:uid="{00000000-0002-0000-0000-000044000000}"/>
    <dataValidation allowBlank="1" showErrorMessage="1" promptTitle="Project sponsor tuition costs" prompt="Total amount of tuition costs requested from sponsor for this project" sqref="K74" xr:uid="{00000000-0002-0000-0000-000045000000}"/>
    <dataValidation allowBlank="1" showErrorMessage="1" promptTitle="Other expenses items" prompt="Fill in the description the of this other expense cost (e.g., Publications)" sqref="A76:D79" xr:uid="{00000000-0002-0000-0000-000046000000}"/>
    <dataValidation allowBlank="1" showErrorMessage="1" promptTitle="Other expenses costs" prompt="Fill in the amount of this other expense cost for this year in this cell.  " sqref="E76:I79" xr:uid="{00000000-0002-0000-0000-000047000000}"/>
    <dataValidation allowBlank="1" showErrorMessage="1" promptTitle="Other expenses totals" prompt="Each cell is the total other expenses costs for this line for the entire project." sqref="K76:K79" xr:uid="{00000000-0002-0000-0000-000048000000}"/>
    <dataValidation allowBlank="1" showErrorMessage="1" promptTitle="Annual other expenses costs" prompt="Sums the other expenses costs requested from the sponsor for each year of the project." sqref="E80:I80" xr:uid="{00000000-0002-0000-0000-000049000000}"/>
    <dataValidation allowBlank="1" showErrorMessage="1" promptTitle="Project sponsor other exp suppor" prompt="Total amount of other expenses costs requested from sponsor for this project." sqref="K80" xr:uid="{00000000-0002-0000-0000-00004A000000}"/>
    <dataValidation allowBlank="1" showErrorMessage="1" promptTitle="Category annual subtotals" prompt="This cell is the same as the subtotal highlighted in grey above for this category." sqref="E82:I92" xr:uid="{00000000-0002-0000-0000-00004B000000}"/>
    <dataValidation type="list" allowBlank="1" showInputMessage="1" showErrorMessage="1" sqref="E101:I101" xr:uid="{00000000-0002-0000-0000-00004C000000}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 xr:uid="{00000000-0002-0000-0000-00004D000000}">
      <formula1>"0, 0.5%,1.0%,1.5%,2.0%,2.5%,3.0%"</formula1>
    </dataValidation>
    <dataValidation allowBlank="1" showErrorMessage="1" promptTitle="Project period start date" prompt="Fill in the date the project begins." sqref="E8" xr:uid="{00000000-0002-0000-0000-00004E000000}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 xr:uid="{00000000-0002-0000-0000-00004F000000}"/>
    <dataValidation allowBlank="1" showErrorMessage="1" promptTitle="Equipment item" prompt="Fill in the name of the piece of equipment or equipment system you are requesting from the sponsor (e.g., Electron microscope)." sqref="A35:D35" xr:uid="{00000000-0002-0000-0000-000050000000}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 xr:uid="{00000000-0002-0000-0000-000051000000}">
      <formula1>5000</formula1>
    </dataValidation>
    <dataValidation allowBlank="1" showErrorMessage="1" promptTitle="Supplies items" prompt="You cannot itemize supplies on this spreadsheet." sqref="A43:D43" xr:uid="{00000000-0002-0000-0000-000052000000}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 xr:uid="{00000000-0002-0000-0000-000053000000}">
      <formula1>0</formula1>
    </dataValidation>
    <dataValidation allowBlank="1" showErrorMessage="1" promptTitle="Patient care costs" prompt="Fill in the costs of patient care costs for this year in this cell." sqref="E46" xr:uid="{00000000-0002-0000-0000-000054000000}"/>
    <dataValidation allowBlank="1" showErrorMessage="1" promptTitle="Alteration/renovation items" prompt="Fill in a short description of the renovation or building alteration (e.g., Hood installation)." sqref="A52:D52" xr:uid="{00000000-0002-0000-0000-000055000000}"/>
    <dataValidation allowBlank="1" showErrorMessage="1" promptTitle="Comments" prompt="Enter in comments about the budget, if needed (e.g., Burry will be promoted 8/10 so the base salary listed is the projected amount)." sqref="A104:K104" xr:uid="{00000000-0002-0000-0000-000056000000}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 xr:uid="{00000000-0002-0000-0000-000057000000}"/>
    <dataValidation allowBlank="1" showErrorMessage="1" sqref="K41 K82:K92" xr:uid="{00000000-0002-0000-0000-000058000000}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 xr:uid="{00000000-0002-0000-0000-000059000000}"/>
  </dataValidations>
  <hyperlinks>
    <hyperlink ref="P37" r:id="rId1" xr:uid="{C86537F1-5B89-4B11-B035-5C500960B8FC}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S52"/>
  <sheetViews>
    <sheetView workbookViewId="0">
      <selection activeCell="B43" sqref="B43:F44"/>
    </sheetView>
  </sheetViews>
  <sheetFormatPr defaultRowHeight="12.75" x14ac:dyDescent="0.2"/>
  <cols>
    <col min="1" max="1" width="36.5703125" style="26" customWidth="1"/>
    <col min="2" max="2" width="9.5703125" style="26" bestFit="1" customWidth="1"/>
    <col min="3" max="3" width="9.7109375" style="26" bestFit="1" customWidth="1"/>
    <col min="4" max="4" width="9.140625" style="26"/>
    <col min="5" max="5" width="9.5703125" style="26" bestFit="1" customWidth="1"/>
    <col min="6" max="6" width="9.140625" style="26"/>
    <col min="7" max="7" width="1.42578125" style="26" customWidth="1"/>
    <col min="8" max="8" width="11.7109375" style="26" customWidth="1"/>
    <col min="9" max="15" width="9.140625" style="26"/>
  </cols>
  <sheetData>
    <row r="2" spans="1:19" s="49" customFormat="1" ht="15.75" x14ac:dyDescent="0.25">
      <c r="A2" s="138" t="s">
        <v>69</v>
      </c>
      <c r="B2" s="138"/>
      <c r="C2" s="138"/>
      <c r="D2" s="138"/>
      <c r="E2" s="138"/>
      <c r="F2" s="138"/>
      <c r="G2" s="138"/>
      <c r="H2" s="138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x14ac:dyDescent="0.2">
      <c r="A3" s="166" t="s">
        <v>70</v>
      </c>
      <c r="B3" s="166"/>
      <c r="C3" s="166"/>
      <c r="D3" s="166"/>
      <c r="E3" s="166"/>
      <c r="F3" s="166"/>
      <c r="G3" s="166"/>
      <c r="H3" s="166"/>
    </row>
    <row r="4" spans="1:19" x14ac:dyDescent="0.2">
      <c r="A4" s="29" t="s">
        <v>28</v>
      </c>
      <c r="B4" s="165"/>
      <c r="C4" s="165"/>
      <c r="D4" s="165"/>
      <c r="E4" s="165"/>
      <c r="F4" s="165"/>
      <c r="G4" s="165"/>
      <c r="H4" s="165"/>
    </row>
    <row r="5" spans="1:19" x14ac:dyDescent="0.2">
      <c r="A5" s="29" t="s">
        <v>160</v>
      </c>
      <c r="B5" s="165"/>
      <c r="C5" s="165"/>
      <c r="D5" s="165"/>
      <c r="E5" s="165"/>
      <c r="F5" s="165"/>
      <c r="G5" s="165"/>
      <c r="H5" s="165"/>
    </row>
    <row r="6" spans="1:19" s="4" customFormat="1" ht="12" x14ac:dyDescent="0.2">
      <c r="A6" s="55"/>
      <c r="B6" s="53" t="s">
        <v>4</v>
      </c>
      <c r="C6" s="53" t="s">
        <v>5</v>
      </c>
      <c r="D6" s="53" t="s">
        <v>6</v>
      </c>
      <c r="E6" s="53" t="s">
        <v>7</v>
      </c>
      <c r="F6" s="53" t="s">
        <v>8</v>
      </c>
      <c r="G6" s="53"/>
      <c r="H6" s="53" t="s">
        <v>10</v>
      </c>
      <c r="I6" s="30"/>
      <c r="J6" s="30"/>
      <c r="K6" s="30"/>
      <c r="L6" s="30"/>
      <c r="M6" s="30"/>
      <c r="N6" s="30"/>
      <c r="O6" s="30"/>
    </row>
    <row r="7" spans="1:19" s="3" customFormat="1" ht="12" x14ac:dyDescent="0.2">
      <c r="A7" s="47" t="s">
        <v>26</v>
      </c>
      <c r="B7" s="89"/>
      <c r="C7" s="89"/>
      <c r="D7" s="89"/>
      <c r="E7" s="89"/>
      <c r="F7" s="89"/>
      <c r="G7" s="32"/>
      <c r="H7" s="33">
        <f>SUM(B7:F7)</f>
        <v>0</v>
      </c>
      <c r="I7" s="26"/>
      <c r="J7" s="26"/>
      <c r="K7" s="26"/>
      <c r="L7" s="26"/>
      <c r="M7" s="26"/>
      <c r="N7" s="26"/>
      <c r="O7" s="26"/>
    </row>
    <row r="8" spans="1:19" s="3" customFormat="1" ht="12" x14ac:dyDescent="0.2">
      <c r="A8" s="47" t="s">
        <v>27</v>
      </c>
      <c r="B8" s="89"/>
      <c r="C8" s="89"/>
      <c r="D8" s="89"/>
      <c r="E8" s="89"/>
      <c r="F8" s="89"/>
      <c r="G8" s="32"/>
      <c r="H8" s="33">
        <f>SUM(B8:F8)</f>
        <v>0</v>
      </c>
      <c r="I8" s="26"/>
      <c r="J8" s="26"/>
      <c r="K8" s="26"/>
      <c r="L8" s="26"/>
      <c r="M8" s="26"/>
      <c r="N8" s="26"/>
      <c r="O8" s="26"/>
    </row>
    <row r="9" spans="1:19" s="5" customFormat="1" ht="12" x14ac:dyDescent="0.2">
      <c r="A9" s="45" t="s">
        <v>13</v>
      </c>
      <c r="B9" s="22">
        <f>SUM(B7:B8)</f>
        <v>0</v>
      </c>
      <c r="C9" s="22">
        <f>SUM(C7:C8)</f>
        <v>0</v>
      </c>
      <c r="D9" s="22">
        <f>SUM(D7:D8)</f>
        <v>0</v>
      </c>
      <c r="E9" s="22">
        <f>SUM(E7:E8)</f>
        <v>0</v>
      </c>
      <c r="F9" s="22">
        <f>SUM(F7:F8)</f>
        <v>0</v>
      </c>
      <c r="G9" s="22"/>
      <c r="H9" s="54">
        <f>SUM(B9,C9,D9,E9,F9)</f>
        <v>0</v>
      </c>
      <c r="I9" s="34"/>
      <c r="J9" s="34"/>
      <c r="K9" s="34"/>
      <c r="L9" s="34"/>
      <c r="M9" s="34"/>
      <c r="N9" s="34"/>
      <c r="O9" s="34"/>
    </row>
    <row r="10" spans="1:19" x14ac:dyDescent="0.2">
      <c r="A10" s="56" t="s">
        <v>37</v>
      </c>
      <c r="B10" s="32">
        <f>IF(B9&gt;25000,25000,B9)</f>
        <v>0</v>
      </c>
      <c r="C10" s="32">
        <f>IF((B9+C9)&lt;25000,C9,IF((25000-B9)&lt;0,0,25000-B9))</f>
        <v>0</v>
      </c>
      <c r="D10" s="32">
        <f>IF((B9+C9+D9)&lt;25000,D9,IF((25000-B9-C9)&lt;0,0,25000-B9-C9))</f>
        <v>0</v>
      </c>
      <c r="E10" s="32">
        <f>IF((B9+C9+D9+E9)&lt;25000,E9,IF((25000-B9-C9-D9)&lt;0,0,25000-B9-C9-D9))</f>
        <v>0</v>
      </c>
      <c r="F10" s="32">
        <f>IF((B9+C9+D9+E9+F9)&lt;25000,F9,IF((25000-B9-C9-D9-E9)&lt;0,0,25000-B9-C9-D9-E9))</f>
        <v>0</v>
      </c>
      <c r="H10" s="31"/>
    </row>
    <row r="12" spans="1:19" x14ac:dyDescent="0.2">
      <c r="A12" s="166" t="s">
        <v>71</v>
      </c>
      <c r="B12" s="166"/>
      <c r="C12" s="166"/>
      <c r="D12" s="166"/>
      <c r="E12" s="166"/>
      <c r="F12" s="166"/>
      <c r="G12" s="166"/>
      <c r="H12" s="166"/>
    </row>
    <row r="13" spans="1:19" x14ac:dyDescent="0.2">
      <c r="A13" s="29" t="s">
        <v>28</v>
      </c>
      <c r="B13" s="165"/>
      <c r="C13" s="165"/>
      <c r="D13" s="165"/>
      <c r="E13" s="165"/>
      <c r="F13" s="165"/>
      <c r="G13" s="165"/>
      <c r="H13" s="165"/>
    </row>
    <row r="14" spans="1:19" x14ac:dyDescent="0.2">
      <c r="A14" s="29" t="s">
        <v>160</v>
      </c>
      <c r="B14" s="165"/>
      <c r="C14" s="165"/>
      <c r="D14" s="165"/>
      <c r="E14" s="165"/>
      <c r="F14" s="165"/>
      <c r="G14" s="165"/>
      <c r="H14" s="165"/>
    </row>
    <row r="15" spans="1:19" s="4" customFormat="1" ht="12" x14ac:dyDescent="0.2">
      <c r="A15" s="55"/>
      <c r="B15" s="53" t="s">
        <v>4</v>
      </c>
      <c r="C15" s="53" t="s">
        <v>5</v>
      </c>
      <c r="D15" s="53" t="s">
        <v>6</v>
      </c>
      <c r="E15" s="53" t="s">
        <v>7</v>
      </c>
      <c r="F15" s="53" t="s">
        <v>8</v>
      </c>
      <c r="G15" s="53"/>
      <c r="H15" s="53" t="s">
        <v>10</v>
      </c>
      <c r="I15" s="30"/>
      <c r="J15" s="30"/>
      <c r="K15" s="30"/>
      <c r="L15" s="30"/>
      <c r="M15" s="30"/>
      <c r="N15" s="30"/>
      <c r="O15" s="30"/>
    </row>
    <row r="16" spans="1:19" s="3" customFormat="1" ht="12" x14ac:dyDescent="0.2">
      <c r="A16" s="47" t="s">
        <v>26</v>
      </c>
      <c r="B16" s="89"/>
      <c r="C16" s="89"/>
      <c r="D16" s="89"/>
      <c r="E16" s="89"/>
      <c r="F16" s="89"/>
      <c r="G16" s="32"/>
      <c r="H16" s="33">
        <f>SUM(B16:F16)</f>
        <v>0</v>
      </c>
      <c r="I16" s="26"/>
      <c r="J16" s="26"/>
      <c r="K16" s="26"/>
      <c r="L16" s="26"/>
      <c r="M16" s="26"/>
      <c r="N16" s="26"/>
      <c r="O16" s="26"/>
    </row>
    <row r="17" spans="1:15" s="3" customFormat="1" ht="12" x14ac:dyDescent="0.2">
      <c r="A17" s="47" t="s">
        <v>27</v>
      </c>
      <c r="B17" s="89"/>
      <c r="C17" s="89"/>
      <c r="D17" s="89"/>
      <c r="E17" s="89"/>
      <c r="F17" s="89"/>
      <c r="G17" s="32"/>
      <c r="H17" s="33">
        <f>SUM(B17:F17)</f>
        <v>0</v>
      </c>
      <c r="I17" s="26"/>
      <c r="J17" s="26"/>
      <c r="K17" s="26"/>
      <c r="L17" s="26"/>
      <c r="M17" s="26"/>
      <c r="N17" s="26"/>
      <c r="O17" s="26"/>
    </row>
    <row r="18" spans="1:15" s="5" customFormat="1" ht="12" x14ac:dyDescent="0.2">
      <c r="A18" s="45" t="s">
        <v>13</v>
      </c>
      <c r="B18" s="22">
        <f>SUM(B16:B17)</f>
        <v>0</v>
      </c>
      <c r="C18" s="22">
        <f>SUM(C16:C17)</f>
        <v>0</v>
      </c>
      <c r="D18" s="22">
        <f>SUM(D16:D17)</f>
        <v>0</v>
      </c>
      <c r="E18" s="22">
        <f>SUM(E16:E17)</f>
        <v>0</v>
      </c>
      <c r="F18" s="22">
        <f>SUM(F16:F17)</f>
        <v>0</v>
      </c>
      <c r="G18" s="22"/>
      <c r="H18" s="54">
        <f>SUM(B18,C18,D18,E18,F18)</f>
        <v>0</v>
      </c>
      <c r="I18" s="34"/>
      <c r="J18" s="34"/>
      <c r="K18" s="34"/>
      <c r="L18" s="34"/>
      <c r="M18" s="34"/>
      <c r="N18" s="34"/>
      <c r="O18" s="34"/>
    </row>
    <row r="19" spans="1:15" s="3" customFormat="1" ht="12" x14ac:dyDescent="0.2">
      <c r="A19" s="56" t="s">
        <v>37</v>
      </c>
      <c r="B19" s="32">
        <f>IF(B18&gt;25000,25000,B18)</f>
        <v>0</v>
      </c>
      <c r="C19" s="32">
        <f>IF((B18+C18)&lt;25000,C18,IF((25000-B18)&lt;0,0,25000-B18))</f>
        <v>0</v>
      </c>
      <c r="D19" s="32">
        <f>IF((B18+C18+D18)&lt;25000,D18,IF((25000-B18-C18)&lt;0,0,25000-B18-C18))</f>
        <v>0</v>
      </c>
      <c r="E19" s="32">
        <f>IF((B18+C18+D18+E18)&lt;25000,E18,IF((25000-B18-C18-D18)&lt;0,0,25000-B18-C18-D18))</f>
        <v>0</v>
      </c>
      <c r="F19" s="32">
        <f>IF((B18+C18+D18+E18+F18)&lt;25000,F18,IF((25000-B18-C18-D18-E18)&lt;0,0,25000-B18-C18-D18-E18))</f>
        <v>0</v>
      </c>
      <c r="G19" s="26"/>
      <c r="H19" s="31"/>
      <c r="I19" s="26"/>
      <c r="J19" s="26"/>
      <c r="K19" s="26"/>
      <c r="L19" s="26"/>
      <c r="M19" s="26"/>
      <c r="N19" s="26"/>
      <c r="O19" s="26"/>
    </row>
    <row r="21" spans="1:15" x14ac:dyDescent="0.2">
      <c r="A21" s="166" t="s">
        <v>72</v>
      </c>
      <c r="B21" s="166"/>
      <c r="C21" s="166"/>
      <c r="D21" s="166"/>
      <c r="E21" s="166"/>
      <c r="F21" s="166"/>
      <c r="G21" s="166"/>
      <c r="H21" s="166"/>
    </row>
    <row r="22" spans="1:15" x14ac:dyDescent="0.2">
      <c r="A22" s="29" t="s">
        <v>28</v>
      </c>
      <c r="B22" s="165"/>
      <c r="C22" s="165"/>
      <c r="D22" s="165"/>
      <c r="E22" s="165"/>
      <c r="F22" s="165"/>
      <c r="G22" s="165"/>
      <c r="H22" s="165"/>
    </row>
    <row r="23" spans="1:15" x14ac:dyDescent="0.2">
      <c r="A23" s="29" t="s">
        <v>160</v>
      </c>
      <c r="B23" s="165"/>
      <c r="C23" s="165"/>
      <c r="D23" s="165"/>
      <c r="E23" s="165"/>
      <c r="F23" s="165"/>
      <c r="G23" s="165"/>
      <c r="H23" s="165"/>
    </row>
    <row r="24" spans="1:15" s="4" customFormat="1" ht="12" x14ac:dyDescent="0.2">
      <c r="A24" s="55"/>
      <c r="B24" s="53" t="s">
        <v>4</v>
      </c>
      <c r="C24" s="53" t="s">
        <v>5</v>
      </c>
      <c r="D24" s="53" t="s">
        <v>6</v>
      </c>
      <c r="E24" s="53" t="s">
        <v>7</v>
      </c>
      <c r="F24" s="53" t="s">
        <v>8</v>
      </c>
      <c r="G24" s="53"/>
      <c r="H24" s="53" t="s">
        <v>10</v>
      </c>
      <c r="I24" s="30"/>
      <c r="J24" s="30"/>
      <c r="K24" s="30"/>
      <c r="L24" s="30"/>
      <c r="M24" s="30"/>
      <c r="N24" s="30"/>
      <c r="O24" s="30"/>
    </row>
    <row r="25" spans="1:15" s="3" customFormat="1" ht="12" x14ac:dyDescent="0.2">
      <c r="A25" s="47" t="s">
        <v>26</v>
      </c>
      <c r="B25" s="89"/>
      <c r="C25" s="89"/>
      <c r="D25" s="89"/>
      <c r="E25" s="89"/>
      <c r="F25" s="89"/>
      <c r="G25" s="32"/>
      <c r="H25" s="33">
        <f>SUM(B25:F25)</f>
        <v>0</v>
      </c>
      <c r="I25" s="26"/>
      <c r="J25" s="26"/>
      <c r="K25" s="26"/>
      <c r="L25" s="26"/>
      <c r="M25" s="26"/>
      <c r="N25" s="26"/>
      <c r="O25" s="26"/>
    </row>
    <row r="26" spans="1:15" s="3" customFormat="1" ht="12" x14ac:dyDescent="0.2">
      <c r="A26" s="47" t="s">
        <v>27</v>
      </c>
      <c r="B26" s="89"/>
      <c r="C26" s="89"/>
      <c r="D26" s="89"/>
      <c r="E26" s="89"/>
      <c r="F26" s="89"/>
      <c r="G26" s="32"/>
      <c r="H26" s="33">
        <f>SUM(B26:F26)</f>
        <v>0</v>
      </c>
      <c r="I26" s="26"/>
      <c r="J26" s="26"/>
      <c r="K26" s="26"/>
      <c r="L26" s="26"/>
      <c r="M26" s="26"/>
      <c r="N26" s="26"/>
      <c r="O26" s="26"/>
    </row>
    <row r="27" spans="1:15" s="5" customFormat="1" ht="12" x14ac:dyDescent="0.2">
      <c r="A27" s="45" t="s">
        <v>13</v>
      </c>
      <c r="B27" s="22">
        <f>SUM(B25:B26)</f>
        <v>0</v>
      </c>
      <c r="C27" s="22">
        <f>SUM(C25:C26)</f>
        <v>0</v>
      </c>
      <c r="D27" s="22">
        <f>SUM(D25:D26)</f>
        <v>0</v>
      </c>
      <c r="E27" s="22">
        <f>SUM(E25:E26)</f>
        <v>0</v>
      </c>
      <c r="F27" s="22">
        <f>SUM(F25:F26)</f>
        <v>0</v>
      </c>
      <c r="G27" s="22"/>
      <c r="H27" s="54">
        <f>SUM(B27,C27,D27,E27,F27)</f>
        <v>0</v>
      </c>
      <c r="I27" s="34"/>
      <c r="J27" s="34"/>
      <c r="K27" s="34"/>
      <c r="L27" s="34"/>
      <c r="M27" s="34"/>
      <c r="N27" s="34"/>
      <c r="O27" s="34"/>
    </row>
    <row r="28" spans="1:15" s="3" customFormat="1" ht="12" x14ac:dyDescent="0.2">
      <c r="A28" s="56" t="s">
        <v>37</v>
      </c>
      <c r="B28" s="32">
        <f>IF(B27&gt;25000,25000,B27)</f>
        <v>0</v>
      </c>
      <c r="C28" s="32">
        <f>IF((B27+C27)&lt;25000,C27,IF((25000-B27)&lt;0,0,25000-B27))</f>
        <v>0</v>
      </c>
      <c r="D28" s="32">
        <f>IF((B27+C27+D27)&lt;25000,D27,IF((25000-B27-C27)&lt;0,0,25000-B27-C27))</f>
        <v>0</v>
      </c>
      <c r="E28" s="32">
        <f>IF((B27+C27+D27+E27)&lt;25000,E27,IF((25000-B27-C27-D27)&lt;0,0,25000-B27-C27-D27))</f>
        <v>0</v>
      </c>
      <c r="F28" s="32">
        <f>IF((B27+C27+D27+E27+F27)&lt;25000,F27,IF((25000-B27-C27-D27-E27)&lt;0,0,25000-B27-C27-D27-E27))</f>
        <v>0</v>
      </c>
      <c r="G28" s="26"/>
      <c r="H28" s="31"/>
      <c r="I28" s="26"/>
      <c r="J28" s="26"/>
      <c r="K28" s="26"/>
      <c r="L28" s="26"/>
      <c r="M28" s="26"/>
      <c r="N28" s="26"/>
      <c r="O28" s="26"/>
    </row>
    <row r="30" spans="1:15" x14ac:dyDescent="0.2">
      <c r="A30" s="166" t="s">
        <v>73</v>
      </c>
      <c r="B30" s="166"/>
      <c r="C30" s="166"/>
      <c r="D30" s="166"/>
      <c r="E30" s="166"/>
      <c r="F30" s="166"/>
      <c r="G30" s="166"/>
      <c r="H30" s="166"/>
    </row>
    <row r="31" spans="1:15" x14ac:dyDescent="0.2">
      <c r="A31" s="29" t="s">
        <v>28</v>
      </c>
      <c r="B31" s="165"/>
      <c r="C31" s="165"/>
      <c r="D31" s="165"/>
      <c r="E31" s="165"/>
      <c r="F31" s="165"/>
      <c r="G31" s="165"/>
      <c r="H31" s="165"/>
    </row>
    <row r="32" spans="1:15" x14ac:dyDescent="0.2">
      <c r="A32" s="29" t="s">
        <v>160</v>
      </c>
      <c r="B32" s="165"/>
      <c r="C32" s="165"/>
      <c r="D32" s="165"/>
      <c r="E32" s="165"/>
      <c r="F32" s="165"/>
      <c r="G32" s="165"/>
      <c r="H32" s="165"/>
    </row>
    <row r="33" spans="1:15" s="4" customFormat="1" ht="12" x14ac:dyDescent="0.2">
      <c r="A33" s="55"/>
      <c r="B33" s="53" t="s">
        <v>4</v>
      </c>
      <c r="C33" s="53" t="s">
        <v>5</v>
      </c>
      <c r="D33" s="53" t="s">
        <v>6</v>
      </c>
      <c r="E33" s="53" t="s">
        <v>7</v>
      </c>
      <c r="F33" s="53" t="s">
        <v>8</v>
      </c>
      <c r="G33" s="53"/>
      <c r="H33" s="53" t="s">
        <v>10</v>
      </c>
      <c r="I33" s="30"/>
      <c r="J33" s="30"/>
      <c r="K33" s="30"/>
      <c r="L33" s="30"/>
      <c r="M33" s="30"/>
      <c r="N33" s="30"/>
      <c r="O33" s="30"/>
    </row>
    <row r="34" spans="1:15" s="3" customFormat="1" ht="12" x14ac:dyDescent="0.2">
      <c r="A34" s="47" t="s">
        <v>26</v>
      </c>
      <c r="B34" s="89"/>
      <c r="C34" s="89"/>
      <c r="D34" s="89"/>
      <c r="E34" s="89"/>
      <c r="F34" s="89"/>
      <c r="G34" s="32"/>
      <c r="H34" s="33">
        <f>SUM(B34:F34)</f>
        <v>0</v>
      </c>
      <c r="I34" s="26"/>
      <c r="J34" s="26"/>
      <c r="K34" s="26"/>
      <c r="L34" s="26"/>
      <c r="M34" s="26"/>
      <c r="N34" s="26"/>
      <c r="O34" s="26"/>
    </row>
    <row r="35" spans="1:15" s="3" customFormat="1" ht="12" x14ac:dyDescent="0.2">
      <c r="A35" s="47" t="s">
        <v>27</v>
      </c>
      <c r="B35" s="89"/>
      <c r="C35" s="89"/>
      <c r="D35" s="89"/>
      <c r="E35" s="89"/>
      <c r="F35" s="89"/>
      <c r="G35" s="32"/>
      <c r="H35" s="33">
        <f>SUM(B35:F35)</f>
        <v>0</v>
      </c>
      <c r="I35" s="26"/>
      <c r="J35" s="26"/>
      <c r="K35" s="26"/>
      <c r="L35" s="26"/>
      <c r="M35" s="26"/>
      <c r="N35" s="26"/>
      <c r="O35" s="26"/>
    </row>
    <row r="36" spans="1:15" s="5" customFormat="1" ht="12" x14ac:dyDescent="0.2">
      <c r="A36" s="45" t="s">
        <v>13</v>
      </c>
      <c r="B36" s="22">
        <f>SUM(B34:B35)</f>
        <v>0</v>
      </c>
      <c r="C36" s="22">
        <f>SUM(C34:C35)</f>
        <v>0</v>
      </c>
      <c r="D36" s="22">
        <f>SUM(D34:D35)</f>
        <v>0</v>
      </c>
      <c r="E36" s="22">
        <f>SUM(E34:E35)</f>
        <v>0</v>
      </c>
      <c r="F36" s="22">
        <f>SUM(F34:F35)</f>
        <v>0</v>
      </c>
      <c r="G36" s="22"/>
      <c r="H36" s="54">
        <f>SUM(B36,C36,D36,E36,F36)</f>
        <v>0</v>
      </c>
      <c r="I36" s="34"/>
      <c r="J36" s="34"/>
      <c r="K36" s="34"/>
      <c r="L36" s="34"/>
      <c r="M36" s="34"/>
      <c r="N36" s="34"/>
      <c r="O36" s="34"/>
    </row>
    <row r="37" spans="1:15" s="3" customFormat="1" ht="12" x14ac:dyDescent="0.2">
      <c r="A37" s="56" t="s">
        <v>37</v>
      </c>
      <c r="B37" s="32">
        <f>IF(B36&gt;25000,25000,B36)</f>
        <v>0</v>
      </c>
      <c r="C37" s="32">
        <f>IF((B36+C36)&lt;25000,C36,IF((25000-B36)&lt;0,0,25000-B36))</f>
        <v>0</v>
      </c>
      <c r="D37" s="32">
        <f>IF((B36+C36+D36)&lt;25000,D36,IF((25000-B36-C36)&lt;0,0,25000-B36-C36))</f>
        <v>0</v>
      </c>
      <c r="E37" s="32">
        <f>IF((B36+C36+D36+E36)&lt;25000,E36,IF((25000-B36-C36-D36)&lt;0,0,25000-B36-C36-D36))</f>
        <v>0</v>
      </c>
      <c r="F37" s="32">
        <f>IF((B36+C36+D36+E36+F36)&lt;25000,F36,IF((25000-B36-C36-D36-E36)&lt;0,0,25000-B36-C36-D36-E36))</f>
        <v>0</v>
      </c>
      <c r="G37" s="26"/>
      <c r="H37" s="31"/>
      <c r="I37" s="26"/>
      <c r="J37" s="26"/>
      <c r="K37" s="26"/>
      <c r="L37" s="26"/>
      <c r="M37" s="26"/>
      <c r="N37" s="26"/>
      <c r="O37" s="26"/>
    </row>
    <row r="38" spans="1:15" x14ac:dyDescent="0.2">
      <c r="A38" s="35"/>
      <c r="B38" s="36"/>
      <c r="C38" s="36"/>
      <c r="D38" s="36"/>
      <c r="E38" s="36"/>
      <c r="F38" s="36"/>
    </row>
    <row r="39" spans="1:15" x14ac:dyDescent="0.2">
      <c r="A39" s="166" t="s">
        <v>74</v>
      </c>
      <c r="B39" s="166"/>
      <c r="C39" s="166"/>
      <c r="D39" s="166"/>
      <c r="E39" s="166"/>
      <c r="F39" s="166"/>
      <c r="G39" s="166"/>
      <c r="H39" s="166"/>
    </row>
    <row r="40" spans="1:15" x14ac:dyDescent="0.2">
      <c r="A40" s="29" t="s">
        <v>28</v>
      </c>
      <c r="B40" s="165"/>
      <c r="C40" s="165"/>
      <c r="D40" s="165"/>
      <c r="E40" s="165"/>
      <c r="F40" s="165"/>
      <c r="G40" s="165"/>
      <c r="H40" s="165"/>
    </row>
    <row r="41" spans="1:15" x14ac:dyDescent="0.2">
      <c r="A41" s="29" t="s">
        <v>160</v>
      </c>
      <c r="B41" s="165"/>
      <c r="C41" s="165"/>
      <c r="D41" s="165"/>
      <c r="E41" s="165"/>
      <c r="F41" s="165"/>
      <c r="G41" s="165"/>
      <c r="H41" s="165"/>
    </row>
    <row r="42" spans="1:15" s="4" customFormat="1" ht="12" x14ac:dyDescent="0.2">
      <c r="A42" s="55"/>
      <c r="B42" s="53" t="s">
        <v>4</v>
      </c>
      <c r="C42" s="53" t="s">
        <v>5</v>
      </c>
      <c r="D42" s="53" t="s">
        <v>6</v>
      </c>
      <c r="E42" s="53" t="s">
        <v>7</v>
      </c>
      <c r="F42" s="53" t="s">
        <v>8</v>
      </c>
      <c r="G42" s="53"/>
      <c r="H42" s="53" t="s">
        <v>10</v>
      </c>
      <c r="I42" s="30"/>
      <c r="J42" s="30"/>
      <c r="K42" s="30"/>
      <c r="L42" s="30"/>
      <c r="M42" s="30"/>
      <c r="N42" s="30"/>
      <c r="O42" s="30"/>
    </row>
    <row r="43" spans="1:15" s="3" customFormat="1" ht="12" x14ac:dyDescent="0.2">
      <c r="A43" s="47" t="s">
        <v>26</v>
      </c>
      <c r="B43" s="89"/>
      <c r="C43" s="89"/>
      <c r="D43" s="89"/>
      <c r="E43" s="89"/>
      <c r="F43" s="89"/>
      <c r="G43" s="32"/>
      <c r="H43" s="33">
        <f>SUM(B43:F43)</f>
        <v>0</v>
      </c>
      <c r="I43" s="26"/>
      <c r="J43" s="26"/>
      <c r="K43" s="26"/>
      <c r="L43" s="26"/>
      <c r="M43" s="26"/>
      <c r="N43" s="26"/>
      <c r="O43" s="26"/>
    </row>
    <row r="44" spans="1:15" s="3" customFormat="1" ht="12" x14ac:dyDescent="0.2">
      <c r="A44" s="47" t="s">
        <v>27</v>
      </c>
      <c r="B44" s="89"/>
      <c r="C44" s="89"/>
      <c r="D44" s="89"/>
      <c r="E44" s="89"/>
      <c r="F44" s="89"/>
      <c r="G44" s="32"/>
      <c r="H44" s="33">
        <f>SUM(B44:F44)</f>
        <v>0</v>
      </c>
      <c r="I44" s="26"/>
      <c r="J44" s="26"/>
      <c r="K44" s="26"/>
      <c r="L44" s="26"/>
      <c r="M44" s="26"/>
      <c r="N44" s="26"/>
      <c r="O44" s="26"/>
    </row>
    <row r="45" spans="1:15" s="5" customFormat="1" ht="12" x14ac:dyDescent="0.2">
      <c r="A45" s="45" t="s">
        <v>13</v>
      </c>
      <c r="B45" s="22">
        <f>SUM(B43:B44)</f>
        <v>0</v>
      </c>
      <c r="C45" s="22">
        <f>SUM(C43:C44)</f>
        <v>0</v>
      </c>
      <c r="D45" s="22">
        <f>SUM(D43:D44)</f>
        <v>0</v>
      </c>
      <c r="E45" s="22">
        <f>SUM(E43:E44)</f>
        <v>0</v>
      </c>
      <c r="F45" s="22">
        <f>SUM(F43:F44)</f>
        <v>0</v>
      </c>
      <c r="G45" s="22"/>
      <c r="H45" s="54">
        <f>SUM(B45,C45,D45,E45,F45)</f>
        <v>0</v>
      </c>
      <c r="I45" s="34"/>
      <c r="J45" s="34"/>
      <c r="K45" s="34"/>
      <c r="L45" s="34"/>
      <c r="M45" s="34"/>
      <c r="N45" s="34"/>
      <c r="O45" s="34"/>
    </row>
    <row r="46" spans="1:15" s="3" customFormat="1" ht="12" x14ac:dyDescent="0.2">
      <c r="A46" s="56" t="s">
        <v>37</v>
      </c>
      <c r="B46" s="32">
        <f>IF(B45&gt;25000,25000,B45)</f>
        <v>0</v>
      </c>
      <c r="C46" s="32">
        <f>IF((B45+C45)&lt;25000,C45,IF((25000-B45)&lt;0,0,25000-B45))</f>
        <v>0</v>
      </c>
      <c r="D46" s="32">
        <f>IF((B45+C45+D45)&lt;25000,D45,IF((25000-B45-C45)&lt;0,0,25000-B45-C45))</f>
        <v>0</v>
      </c>
      <c r="E46" s="32">
        <f>IF((B45+C45+D45+E45)&lt;25000,E45,IF((25000-B45-C45-D45)&lt;0,0,25000-B45-C45-D45))</f>
        <v>0</v>
      </c>
      <c r="F46" s="32">
        <f>IF((B45+C45+D45+E45+F45)&lt;25000,F45,IF((25000-B45-C45-D45-E45)&lt;0,0,25000-B45-C45-D45-E45))</f>
        <v>0</v>
      </c>
      <c r="G46" s="26"/>
      <c r="H46" s="31"/>
      <c r="I46" s="26"/>
      <c r="J46" s="26"/>
      <c r="K46" s="26"/>
      <c r="L46" s="26"/>
      <c r="M46" s="26"/>
      <c r="N46" s="26"/>
      <c r="O46" s="26"/>
    </row>
    <row r="48" spans="1:15" s="26" customFormat="1" ht="12" x14ac:dyDescent="0.2">
      <c r="A48" s="23" t="s">
        <v>51</v>
      </c>
      <c r="B48" s="24">
        <f>SUM(B10,B19,B28,B37,B46)</f>
        <v>0</v>
      </c>
      <c r="C48" s="24">
        <f>SUM(C10,C19,C28,C37,C46)</f>
        <v>0</v>
      </c>
      <c r="D48" s="24">
        <f>SUM(D10,D19,D28,D37,D46)</f>
        <v>0</v>
      </c>
      <c r="E48" s="24">
        <f>SUM(E10,E19,E28,E37,E46)</f>
        <v>0</v>
      </c>
      <c r="F48" s="24">
        <f>SUM(F10,F19,F28,F37,F46)</f>
        <v>0</v>
      </c>
      <c r="G48" s="25"/>
      <c r="H48" s="24">
        <f>SUM(B48:F48)</f>
        <v>0</v>
      </c>
    </row>
    <row r="49" spans="1:8" x14ac:dyDescent="0.2">
      <c r="A49" s="29" t="s">
        <v>52</v>
      </c>
      <c r="B49" s="22">
        <f>SUM(B9,B18,B27,B36,B45)-B48</f>
        <v>0</v>
      </c>
      <c r="C49" s="22">
        <f>SUM(C9,C18,C27,C36,C45)-C48</f>
        <v>0</v>
      </c>
      <c r="D49" s="22">
        <f>SUM(D9,D18,D27,D36,D45)-D48</f>
        <v>0</v>
      </c>
      <c r="E49" s="22">
        <f>SUM(E9,E18,E27,E36,E45)-E48</f>
        <v>0</v>
      </c>
      <c r="F49" s="22">
        <f>SUM(F9,F18,F27,F36,F45)-F48</f>
        <v>0</v>
      </c>
      <c r="G49" s="27"/>
      <c r="H49" s="54">
        <f>SUM(B49:F49)</f>
        <v>0</v>
      </c>
    </row>
    <row r="50" spans="1:8" x14ac:dyDescent="0.2">
      <c r="A50" s="46" t="s">
        <v>55</v>
      </c>
      <c r="B50" s="28">
        <f t="shared" ref="B50:F51" si="0">SUM(B7,B16,B25,B34,B43)</f>
        <v>0</v>
      </c>
      <c r="C50" s="28">
        <f t="shared" si="0"/>
        <v>0</v>
      </c>
      <c r="D50" s="28">
        <f t="shared" si="0"/>
        <v>0</v>
      </c>
      <c r="E50" s="28">
        <f t="shared" si="0"/>
        <v>0</v>
      </c>
      <c r="F50" s="28">
        <f t="shared" si="0"/>
        <v>0</v>
      </c>
      <c r="H50" s="57">
        <f>SUM(B50:F50)</f>
        <v>0</v>
      </c>
    </row>
    <row r="51" spans="1:8" x14ac:dyDescent="0.2">
      <c r="A51" s="46" t="s">
        <v>54</v>
      </c>
      <c r="B51" s="28">
        <f t="shared" si="0"/>
        <v>0</v>
      </c>
      <c r="C51" s="28">
        <f t="shared" si="0"/>
        <v>0</v>
      </c>
      <c r="D51" s="28">
        <f t="shared" si="0"/>
        <v>0</v>
      </c>
      <c r="E51" s="28">
        <f t="shared" si="0"/>
        <v>0</v>
      </c>
      <c r="F51" s="28">
        <f t="shared" si="0"/>
        <v>0</v>
      </c>
      <c r="H51" s="57">
        <f>SUM(B51:F51)</f>
        <v>0</v>
      </c>
    </row>
    <row r="52" spans="1:8" x14ac:dyDescent="0.2">
      <c r="A52" s="23" t="s">
        <v>164</v>
      </c>
      <c r="B52" s="24">
        <f>SUM(B9,B18,B27,B36,B45)</f>
        <v>0</v>
      </c>
      <c r="C52" s="24">
        <f>SUM(C9,C18,C27,C36,C45)</f>
        <v>0</v>
      </c>
      <c r="D52" s="24">
        <f>SUM(D9,D18,D27,D36,D45)</f>
        <v>0</v>
      </c>
      <c r="E52" s="24">
        <f>SUM(E9,E18,E27,E36,E45)</f>
        <v>0</v>
      </c>
      <c r="F52" s="24">
        <f>SUM(F9,F18,F27,F36,F45)</f>
        <v>0</v>
      </c>
      <c r="G52" s="25"/>
      <c r="H52" s="24">
        <f>SUM(B52:F52)</f>
        <v>0</v>
      </c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8">
    <dataValidation allowBlank="1" showErrorMessage="1" promptTitle="Institution" prompt="fill in the name of the institution you will be subcontracting to (e.g., Brown University)." sqref="B4:H4 B13:H13 B22:H22 B31:H31 B40:H40" xr:uid="{00000000-0002-0000-0100-000000000000}"/>
    <dataValidation allowBlank="1" showErrorMessage="1" promptTitle="Principal Investigator" prompt="fill in the name of the PI at this subcontract site (e.g., Chris Meloni)." sqref="B5:H5 B14:H14 B23:H23 B32:H32 B41:H41" xr:uid="{00000000-0002-0000-0100-000001000000}"/>
    <dataValidation allowBlank="1" showErrorMessage="1" promptTitle="Subcontactor indirect costs" prompt="fill in the indirect costs the subcontractee is charging for each year of the project." sqref="B8:F8 B17:F17 B26:F26 B35:F35 B44:F44" xr:uid="{00000000-0002-0000-0100-000003000000}"/>
    <dataValidation allowBlank="1" showInputMessage="1" showErrorMessage="1" promptTitle="Annual F/A inclusion totals" prompt="Annual total of all subcontract costs that will be included in UL's indirect costs." sqref="B48:F48" xr:uid="{00000000-0002-0000-0100-000004000000}"/>
    <dataValidation allowBlank="1" showInputMessage="1" showErrorMessage="1" promptTitle="Total F/A inclusion" prompt="Total of all subcontract costs that will be included in UL's indirect costs." sqref="H48" xr:uid="{00000000-0002-0000-0100-000005000000}"/>
    <dataValidation allowBlank="1" showInputMessage="1" showErrorMessage="1" promptTitle="Annual F/A exclusions" prompt="Annual total of all subcontract costs that will be excluded from UL's indirect costs (exceed $25,000)." sqref="B49:F49" xr:uid="{00000000-0002-0000-0100-000006000000}"/>
    <dataValidation allowBlank="1" showInputMessage="1" showErrorMessage="1" promptTitle="Total F/A exclusions" prompt="Total of all subcontract costs that will be excluded from UL's indirect costs (exceed $25,000) for this project." sqref="H49" xr:uid="{00000000-0002-0000-0100-000007000000}"/>
    <dataValidation allowBlank="1" showInputMessage="1" showErrorMessage="1" promptTitle="Annual direct costs" prompt="Annual total of all direct costs charged by all subcontractors." sqref="B50:F50" xr:uid="{00000000-0002-0000-0100-000008000000}"/>
    <dataValidation allowBlank="1" showInputMessage="1" showErrorMessage="1" promptTitle="Annual indirect costs totals" prompt="Annual total of all indirect costs charged by all subcontractors." sqref="B51:F51" xr:uid="{00000000-0002-0000-0100-000009000000}"/>
    <dataValidation allowBlank="1" showInputMessage="1" showErrorMessage="1" promptTitle="Annual total subcontractor costs" prompt="Annual total of both direct and indirect costs for all subcontractors." sqref="B52:F52" xr:uid="{00000000-0002-0000-0100-00000A000000}"/>
    <dataValidation allowBlank="1" showInputMessage="1" showErrorMessage="1" promptTitle="Total direct costs" prompt="Total of all subcontractor direct costs for the entire project." sqref="H50" xr:uid="{00000000-0002-0000-0100-00000B000000}"/>
    <dataValidation allowBlank="1" showInputMessage="1" showErrorMessage="1" promptTitle="Total indirect costs" prompt="Total of all subcontractor indirect costs for the entire project." sqref="H51" xr:uid="{00000000-0002-0000-0100-00000C000000}"/>
    <dataValidation allowBlank="1" showInputMessage="1" showErrorMessage="1" promptTitle="Total subcontractors contacts" prompt="Total of both direct and indirect costs for all subcontractors for the entire project period." sqref="H52" xr:uid="{00000000-0002-0000-0100-00000D000000}"/>
    <dataValidation allowBlank="1" showErrorMessage="1" promptTitle="Annual direct costs" prompt="fill in the direct costs the subcontractee is charging for each year of the project." sqref="B34:F34 B7:F7 B16:F16 B25:F25 B43:F43" xr:uid="{00000000-0002-0000-0100-00000E000000}"/>
    <dataValidation allowBlank="1" showErrorMessage="1" promptTitle="Subcontractor annual costs" prompt="Automatically totals the direct and indirect costs for each year." sqref="B9:F9 B18:F18 B27:F27 B36:F36 B45:F45" xr:uid="{00000000-0002-0000-0100-00000F000000}"/>
    <dataValidation allowBlank="1" showErrorMessage="1" promptTitle="F/A amounts included" prompt="The amount of this year's budget that will be included in UL's indirect costs (&lt;$25,000)." sqref="B10:F10 B19:F19 B28:F28 B37:F37 B46:F46" xr:uid="{00000000-0002-0000-0100-000010000000}"/>
    <dataValidation allowBlank="1" showErrorMessage="1" promptTitle="Project direct costs" prompt="Total direct costs charged by this sponsor for the entire project period." sqref="H7 H16 H25 H34 H43" xr:uid="{00000000-0002-0000-0100-000011000000}"/>
    <dataValidation allowBlank="1" showErrorMessage="1" promptTitle="Subcontractor total project cost" prompt="Total amount of direct and indirect costs that this subcontractor is charging for the entire project period." sqref="H9 H18 H27 H36 H45" xr:uid="{00000000-0002-0000-0100-000012000000}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S66"/>
  <sheetViews>
    <sheetView workbookViewId="0">
      <selection activeCell="L27" sqref="L2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49" customFormat="1" ht="15.75" x14ac:dyDescent="0.25">
      <c r="A2" s="138" t="s">
        <v>95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4" spans="1:19" ht="15" x14ac:dyDescent="0.25">
      <c r="A4" s="168" t="s">
        <v>96</v>
      </c>
      <c r="B4" s="169"/>
      <c r="C4" s="169"/>
      <c r="D4" s="169"/>
      <c r="E4" s="169"/>
      <c r="F4" s="170"/>
      <c r="K4" s="121" t="s">
        <v>191</v>
      </c>
      <c r="L4" s="122" t="s">
        <v>197</v>
      </c>
    </row>
    <row r="5" spans="1:19" x14ac:dyDescent="0.2">
      <c r="A5" s="167" t="s">
        <v>97</v>
      </c>
      <c r="B5" s="167"/>
      <c r="C5" s="167"/>
      <c r="D5" s="175">
        <f>'MAIN SHEET'!B4</f>
        <v>0</v>
      </c>
      <c r="E5" s="175"/>
      <c r="F5" s="175"/>
      <c r="K5" s="121" t="s">
        <v>192</v>
      </c>
      <c r="L5" s="123">
        <v>43550</v>
      </c>
    </row>
    <row r="6" spans="1:19" x14ac:dyDescent="0.2">
      <c r="A6" s="167" t="s">
        <v>98</v>
      </c>
      <c r="B6" s="167"/>
      <c r="C6" s="167"/>
      <c r="D6" s="176" t="str">
        <f>TEXT('MAIN SHEET'!B5, "mm/dd/yyyy")&amp;" - "&amp;TEXT('MAIN SHEET'!B6, "mm/dd/yyyy")</f>
        <v>09/01/2023 - 08/31/2028</v>
      </c>
      <c r="E6" s="176"/>
      <c r="F6" s="176"/>
    </row>
    <row r="7" spans="1:19" ht="15" x14ac:dyDescent="0.2">
      <c r="A7" s="167" t="s">
        <v>99</v>
      </c>
      <c r="B7" s="167"/>
      <c r="C7" s="167"/>
      <c r="D7" s="171">
        <f>'MAIN SHEET'!K99</f>
        <v>1956250</v>
      </c>
      <c r="E7" s="171"/>
      <c r="F7" s="171"/>
      <c r="K7" s="130" t="s">
        <v>193</v>
      </c>
    </row>
    <row r="8" spans="1:19" x14ac:dyDescent="0.2">
      <c r="A8" s="167" t="s">
        <v>100</v>
      </c>
      <c r="B8" s="167"/>
      <c r="C8" s="167"/>
      <c r="D8" s="171">
        <f>D7</f>
        <v>1956250</v>
      </c>
      <c r="E8" s="171"/>
      <c r="F8" s="171"/>
    </row>
    <row r="11" spans="1:19" x14ac:dyDescent="0.2">
      <c r="A11" s="168" t="s">
        <v>77</v>
      </c>
      <c r="B11" s="169"/>
      <c r="C11" s="169"/>
      <c r="D11" s="169"/>
      <c r="E11" s="169"/>
      <c r="F11" s="170"/>
    </row>
    <row r="12" spans="1:19" x14ac:dyDescent="0.2">
      <c r="A12" s="67" t="s">
        <v>67</v>
      </c>
      <c r="B12" s="67" t="s">
        <v>68</v>
      </c>
      <c r="F12" s="65" t="s">
        <v>79</v>
      </c>
    </row>
    <row r="13" spans="1:19" x14ac:dyDescent="0.2">
      <c r="A13" s="62">
        <f>'MAIN SHEET'!E8</f>
        <v>45170</v>
      </c>
      <c r="B13" s="62">
        <f>'MAIN SHEET'!E9</f>
        <v>45535</v>
      </c>
      <c r="C13" s="167" t="s">
        <v>78</v>
      </c>
      <c r="D13" s="167"/>
      <c r="E13" s="167"/>
      <c r="F13" s="63">
        <f>'MAIN SHEET'!E93-SUBCONTRACTS!B51</f>
        <v>250000</v>
      </c>
    </row>
    <row r="14" spans="1:19" x14ac:dyDescent="0.2">
      <c r="A14" s="167" t="s">
        <v>56</v>
      </c>
      <c r="B14" s="167"/>
      <c r="C14" s="167"/>
      <c r="D14" s="167"/>
      <c r="E14" s="167"/>
      <c r="F14" s="63">
        <f>SUBCONTRACTS!B51</f>
        <v>0</v>
      </c>
      <c r="I14" s="1"/>
    </row>
    <row r="15" spans="1:19" x14ac:dyDescent="0.2">
      <c r="A15" s="167" t="s">
        <v>80</v>
      </c>
      <c r="B15" s="167"/>
      <c r="C15" s="167"/>
      <c r="D15" s="167"/>
      <c r="E15" s="167"/>
      <c r="F15" s="63">
        <f>SUM(F13:F14)</f>
        <v>250000</v>
      </c>
    </row>
    <row r="17" spans="1:11" x14ac:dyDescent="0.2">
      <c r="C17" s="66" t="s">
        <v>81</v>
      </c>
      <c r="D17" s="66" t="s">
        <v>82</v>
      </c>
      <c r="E17" s="66" t="s">
        <v>83</v>
      </c>
      <c r="F17" s="66" t="s">
        <v>79</v>
      </c>
      <c r="H17" s="172" t="s">
        <v>190</v>
      </c>
      <c r="I17" s="173"/>
      <c r="J17" s="173"/>
      <c r="K17" s="173"/>
    </row>
    <row r="18" spans="1:11" x14ac:dyDescent="0.2">
      <c r="C18" s="61" t="s">
        <v>84</v>
      </c>
      <c r="D18" s="64">
        <f>IF(OR(A13=H18,A13=H19,A13=H20),0.53,0.56)</f>
        <v>0.56000000000000005</v>
      </c>
      <c r="E18" s="63">
        <f>IF(A13=H18,'MAIN SHEET'!E95*J18,IF(A13=H19,'MAIN SHEET'!E95*J19,IF(A13=H20,'MAIN SHEET'!E95*J20,'MAIN SHEET'!E95)))</f>
        <v>250000</v>
      </c>
      <c r="F18" s="63">
        <f>E18*D18</f>
        <v>140000</v>
      </c>
      <c r="H18" s="119">
        <v>44652</v>
      </c>
      <c r="I18" s="120">
        <f>(0.25*0.56)+(0.75*0.565)</f>
        <v>0.56374999999999997</v>
      </c>
      <c r="J18" s="127">
        <f>3/12</f>
        <v>0.25</v>
      </c>
      <c r="K18" s="129">
        <f>1-J18</f>
        <v>0.75</v>
      </c>
    </row>
    <row r="19" spans="1:11" x14ac:dyDescent="0.2">
      <c r="C19" s="125" t="str">
        <f>IF(OR(A13=H18,A13=H19,A13=H20),"MTDC","")</f>
        <v/>
      </c>
      <c r="D19" s="124" t="str">
        <f>IF(OR(A13=H18,A13=H19,A13=H20),0.56,"")</f>
        <v/>
      </c>
      <c r="E19" s="126">
        <f>IF(A13=H18,'MAIN SHEET'!E95*K18,IF(A13=H19,'MAIN SHEET'!E95*K19,IF(A13=H20,'MAIN SHEET'!E95*(K20),0)))</f>
        <v>0</v>
      </c>
      <c r="F19" s="63">
        <f>IF(E19=0,0,E19*D19)</f>
        <v>0</v>
      </c>
      <c r="H19" s="119">
        <v>44682</v>
      </c>
      <c r="I19" s="120">
        <f>((2/12)*0.56)+((10/12)*0.565)</f>
        <v>0.56416666666666671</v>
      </c>
      <c r="J19" s="60">
        <f>2/12</f>
        <v>0.16666666666666666</v>
      </c>
      <c r="K19" s="129">
        <f t="shared" ref="K19:K20" si="0">1-J19</f>
        <v>0.83333333333333337</v>
      </c>
    </row>
    <row r="20" spans="1:11" x14ac:dyDescent="0.2">
      <c r="E20" s="104"/>
      <c r="F20" s="104"/>
      <c r="H20" s="119">
        <v>44713</v>
      </c>
      <c r="I20" s="120">
        <f>((1/12)*0.56)+((11/12)*0.565)</f>
        <v>0.56458333333333321</v>
      </c>
      <c r="J20" s="60">
        <f>1/12</f>
        <v>8.3333333333333329E-2</v>
      </c>
      <c r="K20" s="129">
        <f t="shared" si="0"/>
        <v>0.91666666666666663</v>
      </c>
    </row>
    <row r="21" spans="1:11" x14ac:dyDescent="0.2">
      <c r="A21" s="168" t="s">
        <v>85</v>
      </c>
      <c r="B21" s="169"/>
      <c r="C21" s="169"/>
      <c r="D21" s="169"/>
      <c r="E21" s="169"/>
      <c r="F21" s="170"/>
      <c r="H21" s="119">
        <v>44743</v>
      </c>
      <c r="I21" s="120">
        <v>0.56499999999999995</v>
      </c>
      <c r="J21" s="128"/>
      <c r="K21" s="60"/>
    </row>
    <row r="22" spans="1:11" x14ac:dyDescent="0.2">
      <c r="A22" s="67" t="s">
        <v>67</v>
      </c>
      <c r="B22" s="67" t="s">
        <v>68</v>
      </c>
      <c r="F22" s="65" t="s">
        <v>79</v>
      </c>
    </row>
    <row r="23" spans="1:11" x14ac:dyDescent="0.2">
      <c r="A23" s="62">
        <f>'MAIN SHEET'!F8</f>
        <v>45536</v>
      </c>
      <c r="B23" s="62">
        <f>'MAIN SHEET'!F9</f>
        <v>45900</v>
      </c>
      <c r="C23" s="167" t="s">
        <v>78</v>
      </c>
      <c r="D23" s="167"/>
      <c r="E23" s="167"/>
      <c r="F23" s="63">
        <f>'MAIN SHEET'!F93-SUBCONTRACTS!C51</f>
        <v>250000</v>
      </c>
    </row>
    <row r="24" spans="1:11" x14ac:dyDescent="0.2">
      <c r="A24" s="167" t="s">
        <v>56</v>
      </c>
      <c r="B24" s="167"/>
      <c r="C24" s="167"/>
      <c r="D24" s="167"/>
      <c r="E24" s="167"/>
      <c r="F24" s="63">
        <f>SUBCONTRACTS!C51</f>
        <v>0</v>
      </c>
    </row>
    <row r="25" spans="1:11" x14ac:dyDescent="0.2">
      <c r="A25" s="167" t="s">
        <v>80</v>
      </c>
      <c r="B25" s="167"/>
      <c r="C25" s="167"/>
      <c r="D25" s="167"/>
      <c r="E25" s="167"/>
      <c r="F25" s="63">
        <f>SUM(F23:F24)</f>
        <v>250000</v>
      </c>
    </row>
    <row r="27" spans="1:11" x14ac:dyDescent="0.2">
      <c r="C27" s="66" t="s">
        <v>81</v>
      </c>
      <c r="D27" s="66" t="s">
        <v>82</v>
      </c>
      <c r="E27" s="66" t="s">
        <v>83</v>
      </c>
      <c r="F27" s="66" t="s">
        <v>79</v>
      </c>
    </row>
    <row r="28" spans="1:11" x14ac:dyDescent="0.2">
      <c r="C28" s="61" t="s">
        <v>84</v>
      </c>
      <c r="D28" s="64">
        <f>'MAIN SHEET'!F96</f>
        <v>0.56499999999999995</v>
      </c>
      <c r="E28" s="63">
        <f>'MAIN SHEET'!F95</f>
        <v>250000</v>
      </c>
      <c r="F28" s="63">
        <f>'MAIN SHEET'!F97</f>
        <v>141250</v>
      </c>
    </row>
    <row r="29" spans="1:11" x14ac:dyDescent="0.2">
      <c r="C29" s="60"/>
      <c r="D29" s="64"/>
      <c r="E29" s="63"/>
      <c r="F29" s="63"/>
    </row>
    <row r="31" spans="1:11" x14ac:dyDescent="0.2">
      <c r="A31" s="168" t="s">
        <v>86</v>
      </c>
      <c r="B31" s="169"/>
      <c r="C31" s="169"/>
      <c r="D31" s="169"/>
      <c r="E31" s="169"/>
      <c r="F31" s="170"/>
    </row>
    <row r="32" spans="1:11" x14ac:dyDescent="0.2">
      <c r="A32" s="67" t="s">
        <v>67</v>
      </c>
      <c r="B32" s="67" t="s">
        <v>68</v>
      </c>
      <c r="F32" s="65" t="s">
        <v>79</v>
      </c>
    </row>
    <row r="33" spans="1:6" x14ac:dyDescent="0.2">
      <c r="A33" s="62">
        <f>'MAIN SHEET'!G8</f>
        <v>45901</v>
      </c>
      <c r="B33" s="62">
        <f>'MAIN SHEET'!G9</f>
        <v>46265</v>
      </c>
      <c r="C33" s="167" t="s">
        <v>78</v>
      </c>
      <c r="D33" s="167"/>
      <c r="E33" s="167"/>
      <c r="F33" s="63">
        <f>'MAIN SHEET'!G93-SUBCONTRACTS!D51</f>
        <v>250000</v>
      </c>
    </row>
    <row r="34" spans="1:6" x14ac:dyDescent="0.2">
      <c r="A34" s="167" t="s">
        <v>56</v>
      </c>
      <c r="B34" s="167"/>
      <c r="C34" s="167"/>
      <c r="D34" s="167"/>
      <c r="E34" s="167"/>
      <c r="F34" s="63">
        <f>SUBCONTRACTS!D51</f>
        <v>0</v>
      </c>
    </row>
    <row r="35" spans="1:6" x14ac:dyDescent="0.2">
      <c r="A35" s="167" t="s">
        <v>80</v>
      </c>
      <c r="B35" s="167"/>
      <c r="C35" s="167"/>
      <c r="D35" s="167"/>
      <c r="E35" s="167"/>
      <c r="F35" s="63">
        <f>SUM(F33:F34)</f>
        <v>250000</v>
      </c>
    </row>
    <row r="37" spans="1:6" x14ac:dyDescent="0.2">
      <c r="C37" s="66" t="s">
        <v>81</v>
      </c>
      <c r="D37" s="66" t="s">
        <v>82</v>
      </c>
      <c r="E37" s="66" t="s">
        <v>83</v>
      </c>
      <c r="F37" s="66" t="s">
        <v>79</v>
      </c>
    </row>
    <row r="38" spans="1:6" x14ac:dyDescent="0.2">
      <c r="C38" s="61" t="s">
        <v>84</v>
      </c>
      <c r="D38" s="64">
        <f>'MAIN SHEET'!G96</f>
        <v>0.56499999999999995</v>
      </c>
      <c r="E38" s="63">
        <f>'MAIN SHEET'!G95</f>
        <v>250000</v>
      </c>
      <c r="F38" s="63">
        <f>'MAIN SHEET'!G97</f>
        <v>141250</v>
      </c>
    </row>
    <row r="39" spans="1:6" x14ac:dyDescent="0.2">
      <c r="C39" s="60"/>
      <c r="D39" s="64"/>
      <c r="E39" s="63"/>
      <c r="F39" s="63"/>
    </row>
    <row r="41" spans="1:6" x14ac:dyDescent="0.2">
      <c r="A41" s="168" t="s">
        <v>87</v>
      </c>
      <c r="B41" s="169"/>
      <c r="C41" s="169"/>
      <c r="D41" s="169"/>
      <c r="E41" s="169"/>
      <c r="F41" s="170"/>
    </row>
    <row r="42" spans="1:6" x14ac:dyDescent="0.2">
      <c r="A42" s="67" t="s">
        <v>67</v>
      </c>
      <c r="B42" s="67" t="s">
        <v>68</v>
      </c>
      <c r="F42" s="65" t="s">
        <v>79</v>
      </c>
    </row>
    <row r="43" spans="1:6" x14ac:dyDescent="0.2">
      <c r="A43" s="62">
        <f>'MAIN SHEET'!H8</f>
        <v>46266</v>
      </c>
      <c r="B43" s="62">
        <f>'MAIN SHEET'!H9</f>
        <v>46630</v>
      </c>
      <c r="C43" s="167" t="s">
        <v>78</v>
      </c>
      <c r="D43" s="167"/>
      <c r="E43" s="167"/>
      <c r="F43" s="63">
        <f>'MAIN SHEET'!H93-SUBCONTRACTS!E51</f>
        <v>250000</v>
      </c>
    </row>
    <row r="44" spans="1:6" x14ac:dyDescent="0.2">
      <c r="A44" s="167" t="s">
        <v>56</v>
      </c>
      <c r="B44" s="167"/>
      <c r="C44" s="167"/>
      <c r="D44" s="167"/>
      <c r="E44" s="167"/>
      <c r="F44" s="63">
        <f>SUBCONTRACTS!E51</f>
        <v>0</v>
      </c>
    </row>
    <row r="45" spans="1:6" x14ac:dyDescent="0.2">
      <c r="A45" s="167" t="s">
        <v>80</v>
      </c>
      <c r="B45" s="167"/>
      <c r="C45" s="167"/>
      <c r="D45" s="167"/>
      <c r="E45" s="167"/>
      <c r="F45" s="63">
        <f>SUM(F43:F44)</f>
        <v>250000</v>
      </c>
    </row>
    <row r="47" spans="1:6" x14ac:dyDescent="0.2">
      <c r="C47" s="66" t="s">
        <v>81</v>
      </c>
      <c r="D47" s="66" t="s">
        <v>82</v>
      </c>
      <c r="E47" s="66" t="s">
        <v>83</v>
      </c>
      <c r="F47" s="66" t="s">
        <v>79</v>
      </c>
    </row>
    <row r="48" spans="1:6" x14ac:dyDescent="0.2">
      <c r="C48" s="61" t="s">
        <v>84</v>
      </c>
      <c r="D48" s="64">
        <f>'MAIN SHEET'!H96</f>
        <v>0.56499999999999995</v>
      </c>
      <c r="E48" s="63">
        <f>'MAIN SHEET'!H95</f>
        <v>250000</v>
      </c>
      <c r="F48" s="63">
        <f>'MAIN SHEET'!H97</f>
        <v>141250</v>
      </c>
    </row>
    <row r="49" spans="1:6" x14ac:dyDescent="0.2">
      <c r="C49" s="60"/>
      <c r="D49" s="64"/>
      <c r="E49" s="63"/>
      <c r="F49" s="63"/>
    </row>
    <row r="51" spans="1:6" x14ac:dyDescent="0.2">
      <c r="A51" s="168" t="s">
        <v>88</v>
      </c>
      <c r="B51" s="169"/>
      <c r="C51" s="169"/>
      <c r="D51" s="169"/>
      <c r="E51" s="169"/>
      <c r="F51" s="170"/>
    </row>
    <row r="52" spans="1:6" x14ac:dyDescent="0.2">
      <c r="A52" s="67" t="s">
        <v>67</v>
      </c>
      <c r="B52" s="67" t="s">
        <v>68</v>
      </c>
      <c r="F52" s="65" t="s">
        <v>79</v>
      </c>
    </row>
    <row r="53" spans="1:6" x14ac:dyDescent="0.2">
      <c r="A53" s="62">
        <f>'MAIN SHEET'!I8</f>
        <v>46631</v>
      </c>
      <c r="B53" s="62">
        <f>'MAIN SHEET'!I9</f>
        <v>46996</v>
      </c>
      <c r="C53" s="167" t="s">
        <v>78</v>
      </c>
      <c r="D53" s="167"/>
      <c r="E53" s="167"/>
      <c r="F53" s="63">
        <f>'MAIN SHEET'!I93-SUBCONTRACTS!F51</f>
        <v>250000</v>
      </c>
    </row>
    <row r="54" spans="1:6" x14ac:dyDescent="0.2">
      <c r="A54" s="167" t="s">
        <v>56</v>
      </c>
      <c r="B54" s="167"/>
      <c r="C54" s="167"/>
      <c r="D54" s="167"/>
      <c r="E54" s="167"/>
      <c r="F54" s="63">
        <f>SUBCONTRACTS!F51</f>
        <v>0</v>
      </c>
    </row>
    <row r="55" spans="1:6" x14ac:dyDescent="0.2">
      <c r="A55" s="167" t="s">
        <v>80</v>
      </c>
      <c r="B55" s="167"/>
      <c r="C55" s="167"/>
      <c r="D55" s="167"/>
      <c r="E55" s="167"/>
      <c r="F55" s="63">
        <f>SUM(F53:F54)</f>
        <v>250000</v>
      </c>
    </row>
    <row r="57" spans="1:6" x14ac:dyDescent="0.2">
      <c r="C57" s="66" t="s">
        <v>81</v>
      </c>
      <c r="D57" s="66" t="s">
        <v>82</v>
      </c>
      <c r="E57" s="66" t="s">
        <v>83</v>
      </c>
      <c r="F57" s="66" t="s">
        <v>79</v>
      </c>
    </row>
    <row r="58" spans="1:6" x14ac:dyDescent="0.2">
      <c r="C58" s="61" t="s">
        <v>84</v>
      </c>
      <c r="D58" s="64">
        <f>'MAIN SHEET'!I96</f>
        <v>0.56499999999999995</v>
      </c>
      <c r="E58" s="63">
        <f>'MAIN SHEET'!I95</f>
        <v>250000</v>
      </c>
      <c r="F58" s="63">
        <f>'MAIN SHEET'!I97</f>
        <v>141250</v>
      </c>
    </row>
    <row r="59" spans="1:6" x14ac:dyDescent="0.2">
      <c r="C59" s="60"/>
      <c r="D59" s="64"/>
      <c r="E59" s="63"/>
      <c r="F59" s="63"/>
    </row>
    <row r="61" spans="1:6" x14ac:dyDescent="0.2">
      <c r="A61" s="168" t="s">
        <v>89</v>
      </c>
      <c r="B61" s="169"/>
      <c r="C61" s="169"/>
      <c r="D61" s="169"/>
      <c r="E61" s="169"/>
      <c r="F61" s="170"/>
    </row>
    <row r="62" spans="1:6" x14ac:dyDescent="0.2">
      <c r="A62" s="174" t="s">
        <v>90</v>
      </c>
      <c r="B62" s="174"/>
      <c r="C62" s="174"/>
      <c r="D62" s="174"/>
      <c r="E62" s="174"/>
      <c r="F62" s="63">
        <f>'MAIN SHEET'!K93-SUBCONTRACTS!H51</f>
        <v>1250000</v>
      </c>
    </row>
    <row r="63" spans="1:6" x14ac:dyDescent="0.2">
      <c r="A63" s="174" t="s">
        <v>91</v>
      </c>
      <c r="B63" s="174"/>
      <c r="C63" s="174"/>
      <c r="D63" s="174"/>
      <c r="E63" s="174"/>
      <c r="F63" s="63">
        <f>SUBCONTRACTS!H51</f>
        <v>0</v>
      </c>
    </row>
    <row r="64" spans="1:6" x14ac:dyDescent="0.2">
      <c r="A64" s="174" t="s">
        <v>92</v>
      </c>
      <c r="B64" s="174"/>
      <c r="C64" s="174"/>
      <c r="D64" s="174"/>
      <c r="E64" s="174"/>
      <c r="F64" s="63">
        <f>'MAIN SHEET'!K93</f>
        <v>1250000</v>
      </c>
    </row>
    <row r="65" spans="1:6" x14ac:dyDescent="0.2">
      <c r="A65" s="174" t="s">
        <v>93</v>
      </c>
      <c r="B65" s="174"/>
      <c r="C65" s="174"/>
      <c r="D65" s="174"/>
      <c r="E65" s="174"/>
      <c r="F65" s="63">
        <f>'MAIN SHEET'!K97</f>
        <v>706250</v>
      </c>
    </row>
    <row r="66" spans="1:6" x14ac:dyDescent="0.2">
      <c r="A66" s="174" t="s">
        <v>94</v>
      </c>
      <c r="B66" s="174"/>
      <c r="C66" s="174"/>
      <c r="D66" s="174"/>
      <c r="E66" s="174"/>
      <c r="F66" s="63">
        <f>'MAIN SHEET'!K99</f>
        <v>1956250</v>
      </c>
    </row>
  </sheetData>
  <mergeCells count="37"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  <mergeCell ref="A51:F51"/>
    <mergeCell ref="C53:E53"/>
    <mergeCell ref="A54:E54"/>
    <mergeCell ref="A35:E35"/>
    <mergeCell ref="A41:F41"/>
    <mergeCell ref="C43:E43"/>
    <mergeCell ref="A44:E44"/>
    <mergeCell ref="A25:E25"/>
    <mergeCell ref="A31:F31"/>
    <mergeCell ref="C33:E33"/>
    <mergeCell ref="A34:E34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77" t="s">
        <v>170</v>
      </c>
      <c r="B2" s="177"/>
      <c r="C2" s="177"/>
      <c r="D2" s="177"/>
      <c r="E2" s="177"/>
      <c r="F2" s="177"/>
      <c r="G2" s="177"/>
    </row>
    <row r="3" spans="1:7" ht="15" x14ac:dyDescent="0.25">
      <c r="A3" s="177"/>
      <c r="B3" s="177"/>
      <c r="C3" s="177"/>
      <c r="D3" s="177"/>
      <c r="E3" s="177"/>
      <c r="F3" s="177"/>
      <c r="G3" s="177"/>
    </row>
    <row r="4" spans="1:7" ht="14.25" x14ac:dyDescent="0.2">
      <c r="A4" s="178" t="s">
        <v>171</v>
      </c>
      <c r="B4" s="178"/>
      <c r="C4" s="178"/>
      <c r="D4" s="178"/>
      <c r="E4" s="178"/>
      <c r="F4" s="178"/>
      <c r="G4" s="178"/>
    </row>
    <row r="5" spans="1:7" ht="15" x14ac:dyDescent="0.25">
      <c r="A5" s="108"/>
      <c r="B5" s="109" t="s">
        <v>4</v>
      </c>
      <c r="C5" s="109" t="s">
        <v>5</v>
      </c>
      <c r="D5" s="109" t="s">
        <v>6</v>
      </c>
      <c r="E5" s="109" t="s">
        <v>7</v>
      </c>
      <c r="F5" s="109" t="s">
        <v>8</v>
      </c>
      <c r="G5" s="109" t="s">
        <v>172</v>
      </c>
    </row>
    <row r="6" spans="1:7" ht="15" x14ac:dyDescent="0.25">
      <c r="A6" s="110" t="s">
        <v>173</v>
      </c>
      <c r="B6" s="111">
        <f>'MAIN SHEET'!E41</f>
        <v>0</v>
      </c>
      <c r="C6" s="111">
        <f>'MAIN SHEET'!F41</f>
        <v>0</v>
      </c>
      <c r="D6" s="111">
        <f>'MAIN SHEET'!G41</f>
        <v>0</v>
      </c>
      <c r="E6" s="111">
        <f>'MAIN SHEET'!H41</f>
        <v>0</v>
      </c>
      <c r="F6" s="111">
        <f>'MAIN SHEET'!I41</f>
        <v>0</v>
      </c>
      <c r="G6" s="112">
        <f t="shared" ref="G6:G12" si="0">SUM(B6:F6)</f>
        <v>0</v>
      </c>
    </row>
    <row r="7" spans="1:7" ht="15" x14ac:dyDescent="0.25">
      <c r="A7" s="110" t="s">
        <v>41</v>
      </c>
      <c r="B7" s="111">
        <f>'MAIN SHEET'!E54</f>
        <v>0</v>
      </c>
      <c r="C7" s="111">
        <f>'MAIN SHEET'!F54</f>
        <v>0</v>
      </c>
      <c r="D7" s="111">
        <f>'MAIN SHEET'!G54</f>
        <v>0</v>
      </c>
      <c r="E7" s="111">
        <f>'MAIN SHEET'!H54</f>
        <v>0</v>
      </c>
      <c r="F7" s="111">
        <f>'MAIN SHEET'!I54</f>
        <v>0</v>
      </c>
      <c r="G7" s="112">
        <f t="shared" si="0"/>
        <v>0</v>
      </c>
    </row>
    <row r="8" spans="1:7" ht="15" x14ac:dyDescent="0.25">
      <c r="A8" s="110" t="s">
        <v>174</v>
      </c>
      <c r="B8" s="111">
        <f>'MAIN SHEET'!E58</f>
        <v>0</v>
      </c>
      <c r="C8" s="111">
        <f>'MAIN SHEET'!F58</f>
        <v>0</v>
      </c>
      <c r="D8" s="111">
        <f>'MAIN SHEET'!G58</f>
        <v>0</v>
      </c>
      <c r="E8" s="111">
        <f>'MAIN SHEET'!H58</f>
        <v>0</v>
      </c>
      <c r="F8" s="111">
        <f>'MAIN SHEET'!I58</f>
        <v>0</v>
      </c>
      <c r="G8" s="112">
        <f t="shared" si="0"/>
        <v>0</v>
      </c>
    </row>
    <row r="9" spans="1:7" ht="15" x14ac:dyDescent="0.25">
      <c r="A9" s="110" t="s">
        <v>175</v>
      </c>
      <c r="B9" s="111">
        <f>'MAIN SHEET'!E50</f>
        <v>0</v>
      </c>
      <c r="C9" s="111">
        <f>'MAIN SHEET'!F50</f>
        <v>0</v>
      </c>
      <c r="D9" s="111">
        <f>'MAIN SHEET'!G50</f>
        <v>0</v>
      </c>
      <c r="E9" s="111">
        <f>'MAIN SHEET'!H50</f>
        <v>0</v>
      </c>
      <c r="F9" s="111">
        <f>'MAIN SHEET'!I50</f>
        <v>0</v>
      </c>
      <c r="G9" s="112">
        <f t="shared" si="0"/>
        <v>0</v>
      </c>
    </row>
    <row r="10" spans="1:7" ht="15" x14ac:dyDescent="0.25">
      <c r="A10" s="110" t="s">
        <v>176</v>
      </c>
      <c r="B10" s="111">
        <f>SUBCONTRACTS!B49</f>
        <v>0</v>
      </c>
      <c r="C10" s="111">
        <f>SUBCONTRACTS!C49</f>
        <v>0</v>
      </c>
      <c r="D10" s="111">
        <f>SUBCONTRACTS!D49</f>
        <v>0</v>
      </c>
      <c r="E10" s="111">
        <f>SUBCONTRACTS!E49</f>
        <v>0</v>
      </c>
      <c r="F10" s="111">
        <f>SUBCONTRACTS!F49</f>
        <v>0</v>
      </c>
      <c r="G10" s="112">
        <f t="shared" si="0"/>
        <v>0</v>
      </c>
    </row>
    <row r="11" spans="1:7" ht="15" x14ac:dyDescent="0.25">
      <c r="A11" s="110" t="s">
        <v>23</v>
      </c>
      <c r="B11" s="111">
        <f>'MAIN SHEET'!E74</f>
        <v>0</v>
      </c>
      <c r="C11" s="111">
        <f>'MAIN SHEET'!F74</f>
        <v>0</v>
      </c>
      <c r="D11" s="111">
        <f>'MAIN SHEET'!G74</f>
        <v>0</v>
      </c>
      <c r="E11" s="111">
        <f>'MAIN SHEET'!H74</f>
        <v>0</v>
      </c>
      <c r="F11" s="111">
        <f>'MAIN SHEET'!I74</f>
        <v>0</v>
      </c>
      <c r="G11" s="112">
        <f t="shared" si="0"/>
        <v>0</v>
      </c>
    </row>
    <row r="12" spans="1:7" ht="15" x14ac:dyDescent="0.25">
      <c r="A12" s="113" t="s">
        <v>49</v>
      </c>
      <c r="B12" s="112">
        <f>SUM(B6:B11)</f>
        <v>0</v>
      </c>
      <c r="C12" s="112">
        <f>SUM(C6:C11)</f>
        <v>0</v>
      </c>
      <c r="D12" s="112">
        <f>SUM(D6:D11)</f>
        <v>0</v>
      </c>
      <c r="E12" s="112">
        <f>SUM(E6:E11)</f>
        <v>0</v>
      </c>
      <c r="F12" s="112">
        <f>SUM(F6:F11)</f>
        <v>0</v>
      </c>
      <c r="G12" s="112">
        <f t="shared" si="0"/>
        <v>0</v>
      </c>
    </row>
    <row r="13" spans="1:7" ht="14.25" x14ac:dyDescent="0.2">
      <c r="A13" s="108"/>
      <c r="B13" s="108"/>
      <c r="C13" s="108"/>
      <c r="D13" s="108"/>
      <c r="E13" s="108"/>
      <c r="F13" s="108"/>
      <c r="G13" s="108"/>
    </row>
    <row r="15" spans="1:7" ht="14.25" x14ac:dyDescent="0.2">
      <c r="A15" s="108"/>
      <c r="B15" s="108"/>
      <c r="C15" s="108"/>
      <c r="D15" s="108"/>
      <c r="E15" s="108"/>
      <c r="F15" s="108"/>
      <c r="G15" s="108"/>
    </row>
    <row r="16" spans="1:7" ht="14.25" x14ac:dyDescent="0.2">
      <c r="A16" s="108"/>
      <c r="B16" s="108"/>
      <c r="C16" s="108"/>
      <c r="D16" s="108"/>
      <c r="E16" s="108"/>
      <c r="F16" s="108"/>
      <c r="G16" s="108"/>
    </row>
    <row r="17" spans="1:10" ht="15" x14ac:dyDescent="0.25">
      <c r="A17" s="114" t="s">
        <v>177</v>
      </c>
      <c r="B17" s="108"/>
      <c r="C17" s="108"/>
      <c r="D17" s="108"/>
      <c r="E17" s="108"/>
      <c r="F17" s="108"/>
      <c r="G17" s="108"/>
      <c r="J17" s="115" t="s">
        <v>189</v>
      </c>
    </row>
    <row r="18" spans="1:10" ht="15" x14ac:dyDescent="0.25">
      <c r="A18" s="108" t="s">
        <v>188</v>
      </c>
      <c r="B18" s="108"/>
      <c r="C18" s="108"/>
      <c r="D18" s="108"/>
      <c r="E18" s="108"/>
      <c r="F18" s="108"/>
      <c r="G18" s="108"/>
    </row>
    <row r="19" spans="1:10" ht="14.25" x14ac:dyDescent="0.2">
      <c r="A19" s="108" t="s">
        <v>178</v>
      </c>
      <c r="B19" s="108"/>
      <c r="C19" s="108"/>
      <c r="D19" s="108"/>
      <c r="E19" s="108"/>
      <c r="F19" s="108"/>
      <c r="G19" s="108"/>
    </row>
    <row r="20" spans="1:10" ht="15" x14ac:dyDescent="0.25">
      <c r="A20" s="108" t="s">
        <v>182</v>
      </c>
      <c r="B20" s="108"/>
      <c r="C20" s="108"/>
      <c r="D20" s="108"/>
      <c r="E20" s="108"/>
      <c r="F20" s="108"/>
      <c r="G20" s="108"/>
    </row>
    <row r="21" spans="1:10" ht="14.25" x14ac:dyDescent="0.2">
      <c r="A21" s="108" t="s">
        <v>183</v>
      </c>
      <c r="B21" s="108"/>
      <c r="C21" s="108"/>
      <c r="D21" s="108"/>
      <c r="E21" s="108"/>
      <c r="F21" s="108"/>
      <c r="G21" s="108"/>
    </row>
    <row r="22" spans="1:10" ht="15" x14ac:dyDescent="0.25">
      <c r="A22" s="108" t="s">
        <v>184</v>
      </c>
      <c r="B22" s="108"/>
      <c r="C22" s="108"/>
      <c r="D22" s="108"/>
      <c r="E22" s="108"/>
      <c r="F22" s="108"/>
      <c r="G22" s="108"/>
    </row>
    <row r="23" spans="1:10" ht="14.25" x14ac:dyDescent="0.2">
      <c r="A23" s="108" t="s">
        <v>185</v>
      </c>
      <c r="B23" s="108"/>
      <c r="C23" s="108"/>
      <c r="D23" s="108"/>
      <c r="E23" s="108"/>
      <c r="F23" s="108"/>
      <c r="G23" s="108"/>
    </row>
    <row r="24" spans="1:10" ht="14.25" x14ac:dyDescent="0.2">
      <c r="B24" s="108"/>
      <c r="C24" s="108"/>
      <c r="D24" s="108"/>
      <c r="E24" s="108"/>
      <c r="F24" s="108"/>
      <c r="G24" s="108"/>
    </row>
    <row r="25" spans="1:10" ht="15" x14ac:dyDescent="0.25">
      <c r="A25" s="114" t="s">
        <v>179</v>
      </c>
      <c r="B25" s="108"/>
      <c r="C25" s="108"/>
      <c r="D25" s="108"/>
      <c r="E25" s="108"/>
      <c r="F25" s="108"/>
      <c r="G25" s="108"/>
    </row>
    <row r="26" spans="1:10" ht="15" x14ac:dyDescent="0.25">
      <c r="A26" s="108" t="s">
        <v>188</v>
      </c>
      <c r="B26" s="108"/>
      <c r="C26" s="108"/>
      <c r="D26" s="108"/>
      <c r="E26" s="108"/>
      <c r="F26" s="108"/>
      <c r="G26" s="108"/>
    </row>
    <row r="27" spans="1:10" ht="14.25" x14ac:dyDescent="0.2">
      <c r="A27" s="108" t="s">
        <v>186</v>
      </c>
      <c r="B27" s="108"/>
      <c r="C27" s="108"/>
      <c r="D27" s="108"/>
      <c r="E27" s="108"/>
      <c r="F27" s="108"/>
      <c r="G27" s="108"/>
    </row>
    <row r="28" spans="1:10" ht="14.25" x14ac:dyDescent="0.2">
      <c r="A28" s="108" t="s">
        <v>187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Q47"/>
  <sheetViews>
    <sheetView workbookViewId="0">
      <selection activeCell="B30" sqref="B30"/>
    </sheetView>
  </sheetViews>
  <sheetFormatPr defaultRowHeight="11.25" x14ac:dyDescent="0.2"/>
  <cols>
    <col min="1" max="1" width="51.85546875" style="20" customWidth="1"/>
    <col min="2" max="2" width="10.140625" style="20" bestFit="1" customWidth="1"/>
    <col min="3" max="3" width="2.42578125" style="20" customWidth="1"/>
    <col min="4" max="4" width="24.140625" style="20" customWidth="1"/>
    <col min="5" max="5" width="14.140625" style="20" customWidth="1"/>
    <col min="6" max="6" width="15.7109375" style="20" customWidth="1"/>
    <col min="7" max="16384" width="9.140625" style="20"/>
  </cols>
  <sheetData>
    <row r="2" spans="1:17" ht="15.75" x14ac:dyDescent="0.25">
      <c r="A2" s="138" t="s">
        <v>102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4" spans="1:17" ht="12" x14ac:dyDescent="0.2">
      <c r="A4" s="183" t="s">
        <v>103</v>
      </c>
      <c r="B4" s="181"/>
      <c r="C4" s="181"/>
      <c r="D4" s="181"/>
      <c r="E4" s="181"/>
      <c r="F4" s="181"/>
    </row>
    <row r="5" spans="1:17" ht="12" x14ac:dyDescent="0.2">
      <c r="A5" s="3" t="str">
        <f>TEXT('MAIN SHEET'!B5, "mm/dd/yyyy")&amp;" - "&amp;TEXT('MAIN SHEET'!B6, "mm/dd/yyyy")</f>
        <v>09/01/2023 - 08/31/2028</v>
      </c>
      <c r="B5" s="3"/>
      <c r="C5" s="3"/>
      <c r="D5" s="3"/>
      <c r="E5" s="3"/>
    </row>
    <row r="7" spans="1:17" s="21" customFormat="1" ht="12" x14ac:dyDescent="0.2">
      <c r="A7" s="48" t="s">
        <v>104</v>
      </c>
      <c r="B7" s="48"/>
      <c r="C7" s="73"/>
      <c r="D7" s="181" t="s">
        <v>105</v>
      </c>
      <c r="E7" s="182"/>
      <c r="F7" s="74" t="s">
        <v>53</v>
      </c>
      <c r="G7" s="5"/>
      <c r="H7" s="5"/>
      <c r="I7" s="5"/>
    </row>
    <row r="8" spans="1:17" ht="12" x14ac:dyDescent="0.2">
      <c r="A8" s="8" t="s">
        <v>32</v>
      </c>
      <c r="B8" s="69">
        <f>'MAIN SHEET'!K21</f>
        <v>0</v>
      </c>
      <c r="C8" s="3"/>
      <c r="D8" s="70" t="s">
        <v>32</v>
      </c>
      <c r="E8" s="71">
        <f>'MAIN SHEET'!U21</f>
        <v>0</v>
      </c>
      <c r="F8" s="58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0" t="s">
        <v>14</v>
      </c>
      <c r="B9" s="72">
        <f>'MAIN SHEET'!K33</f>
        <v>0</v>
      </c>
      <c r="C9" s="3"/>
      <c r="D9" s="70" t="s">
        <v>14</v>
      </c>
      <c r="E9" s="71">
        <f>'MAIN SHEET'!U33</f>
        <v>0</v>
      </c>
      <c r="F9" s="58" t="str">
        <f>F8</f>
        <v/>
      </c>
      <c r="G9" s="3"/>
      <c r="H9" s="3"/>
      <c r="I9" s="3"/>
    </row>
    <row r="10" spans="1:17" ht="12" x14ac:dyDescent="0.2">
      <c r="A10" s="8" t="s">
        <v>40</v>
      </c>
      <c r="B10" s="69">
        <f>'MAIN SHEET'!K41</f>
        <v>0</v>
      </c>
      <c r="C10" s="3"/>
      <c r="D10" s="8" t="s">
        <v>40</v>
      </c>
      <c r="E10" s="71"/>
      <c r="F10" s="42"/>
      <c r="G10" s="3"/>
      <c r="H10" s="3"/>
      <c r="I10" s="3"/>
    </row>
    <row r="11" spans="1:17" ht="12" x14ac:dyDescent="0.2">
      <c r="A11" s="8" t="s">
        <v>41</v>
      </c>
      <c r="B11" s="69">
        <f>'MAIN SHEET'!K54</f>
        <v>0</v>
      </c>
      <c r="C11" s="3"/>
      <c r="D11" s="8" t="s">
        <v>41</v>
      </c>
      <c r="E11" s="71"/>
      <c r="F11" s="42"/>
      <c r="G11" s="3"/>
      <c r="H11" s="3"/>
      <c r="I11" s="3"/>
    </row>
    <row r="12" spans="1:17" ht="12" x14ac:dyDescent="0.2">
      <c r="A12" s="8" t="s">
        <v>20</v>
      </c>
      <c r="B12" s="69">
        <f>'MAIN SHEET'!K65</f>
        <v>0</v>
      </c>
      <c r="C12" s="3"/>
      <c r="D12" s="8" t="s">
        <v>20</v>
      </c>
      <c r="E12" s="71"/>
      <c r="F12" s="42"/>
      <c r="G12" s="3"/>
      <c r="H12" s="3"/>
      <c r="I12" s="3"/>
    </row>
    <row r="13" spans="1:17" ht="12" x14ac:dyDescent="0.2">
      <c r="A13" s="8" t="s">
        <v>33</v>
      </c>
      <c r="B13" s="69">
        <f>SUM('MAIN SHEET'!K44,'MAIN SHEET'!K50,'MAIN SHEET'!K58,'MAIN SHEET'!K80)</f>
        <v>1250000</v>
      </c>
      <c r="C13" s="3"/>
      <c r="D13" s="8" t="s">
        <v>33</v>
      </c>
      <c r="E13" s="71"/>
      <c r="F13" s="42"/>
      <c r="G13" s="3"/>
      <c r="H13" s="3"/>
      <c r="I13" s="3"/>
    </row>
    <row r="14" spans="1:17" ht="12" x14ac:dyDescent="0.2">
      <c r="A14" s="8" t="s">
        <v>22</v>
      </c>
      <c r="B14" s="69">
        <f>'MAIN SHEET'!K71</f>
        <v>0</v>
      </c>
      <c r="C14" s="3"/>
      <c r="D14" s="8" t="s">
        <v>22</v>
      </c>
      <c r="E14" s="71"/>
      <c r="F14" s="42"/>
      <c r="G14" s="3"/>
      <c r="H14" s="3"/>
      <c r="I14" s="3"/>
    </row>
    <row r="15" spans="1:17" ht="12" x14ac:dyDescent="0.2">
      <c r="A15" s="8" t="s">
        <v>23</v>
      </c>
      <c r="B15" s="69">
        <f>'MAIN SHEET'!K74</f>
        <v>0</v>
      </c>
      <c r="C15" s="3"/>
      <c r="D15" s="8" t="s">
        <v>23</v>
      </c>
      <c r="E15" s="71"/>
      <c r="F15" s="42"/>
      <c r="G15" s="3"/>
      <c r="H15" s="3"/>
      <c r="I15" s="3"/>
    </row>
    <row r="16" spans="1:17" ht="12" x14ac:dyDescent="0.2">
      <c r="A16" s="37" t="s">
        <v>34</v>
      </c>
      <c r="B16" s="38">
        <f>SUM(B8:B15)</f>
        <v>1250000</v>
      </c>
      <c r="C16" s="3"/>
      <c r="D16" s="37" t="s">
        <v>34</v>
      </c>
      <c r="E16" s="75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8" t="s">
        <v>106</v>
      </c>
      <c r="B18" s="48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69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69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69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69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69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69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69"/>
      <c r="C25" s="3"/>
      <c r="D25" s="3"/>
      <c r="E25" s="3"/>
      <c r="F25" s="3"/>
      <c r="G25" s="3"/>
      <c r="H25" s="3"/>
      <c r="I25" s="3"/>
    </row>
    <row r="26" spans="1:11" ht="12" x14ac:dyDescent="0.2">
      <c r="A26" s="37" t="s">
        <v>49</v>
      </c>
      <c r="B26" s="38">
        <f>SUM(B19:B25)</f>
        <v>0</v>
      </c>
      <c r="C26" s="3"/>
      <c r="D26" s="3"/>
      <c r="E26" s="3"/>
      <c r="F26" s="3"/>
      <c r="G26" s="3"/>
      <c r="H26" s="3"/>
      <c r="I26" s="76"/>
      <c r="J26" s="76"/>
      <c r="K26" s="76"/>
    </row>
    <row r="27" spans="1:11" ht="12" x14ac:dyDescent="0.2">
      <c r="A27" s="14" t="s">
        <v>50</v>
      </c>
      <c r="B27" s="57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8" t="s">
        <v>13</v>
      </c>
      <c r="B29" s="48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7">
        <f>'MAIN SHEET'!K97</f>
        <v>706250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7">
        <f>'MAIN SHEET'!K99</f>
        <v>1956250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85" t="s">
        <v>109</v>
      </c>
      <c r="B33" s="185"/>
      <c r="C33" s="185"/>
      <c r="D33" s="185"/>
      <c r="E33" s="185"/>
      <c r="F33" s="185"/>
      <c r="G33" s="3"/>
      <c r="H33" s="3"/>
      <c r="I33" s="3"/>
    </row>
    <row r="34" spans="1:9" ht="12" x14ac:dyDescent="0.2">
      <c r="A34" s="184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84"/>
      <c r="C34" s="184"/>
      <c r="D34" s="184"/>
      <c r="E34" s="184"/>
      <c r="F34" s="184"/>
      <c r="G34" s="3"/>
      <c r="H34" s="3"/>
      <c r="I34" s="3"/>
    </row>
    <row r="35" spans="1:9" ht="12" x14ac:dyDescent="0.2">
      <c r="A35" s="139" t="str">
        <f>IF('MAIN SHEET'!A104="","","2) "&amp;'MAIN SHEET'!A104)</f>
        <v/>
      </c>
      <c r="B35" s="141"/>
      <c r="C35" s="141"/>
      <c r="D35" s="141"/>
      <c r="E35" s="141"/>
      <c r="F35" s="140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39" t="s">
        <v>110</v>
      </c>
      <c r="B37" s="39"/>
      <c r="C37" s="80"/>
      <c r="D37" s="80"/>
      <c r="E37" s="80"/>
      <c r="F37" s="80"/>
      <c r="G37" s="3"/>
      <c r="H37" s="3"/>
      <c r="I37" s="3"/>
    </row>
    <row r="38" spans="1:9" s="79" customFormat="1" ht="12.75" customHeight="1" x14ac:dyDescent="0.2">
      <c r="A38" s="77" t="s">
        <v>111</v>
      </c>
      <c r="B38" s="180" t="s">
        <v>112</v>
      </c>
      <c r="C38" s="180"/>
      <c r="D38" s="180"/>
      <c r="E38" s="77" t="s">
        <v>113</v>
      </c>
      <c r="F38" s="77" t="s">
        <v>114</v>
      </c>
      <c r="G38" s="4"/>
      <c r="H38" s="4"/>
      <c r="I38" s="4"/>
    </row>
    <row r="39" spans="1:9" s="26" customFormat="1" ht="12" x14ac:dyDescent="0.2">
      <c r="A39" s="42" t="str">
        <f>IF(SUBCONTRACTS!B4="","",SUBCONTRACTS!B4)</f>
        <v/>
      </c>
      <c r="B39" s="179" t="str">
        <f>IF(SUBCONTRACTS!B5="","",SUBCONTRACTS!B5)</f>
        <v/>
      </c>
      <c r="C39" s="179"/>
      <c r="D39" s="179"/>
      <c r="E39" s="81" t="str">
        <f>IF(SUBCONTRACTS!B9=0,"",SUBCONTRACTS!B9)</f>
        <v/>
      </c>
      <c r="F39" s="81" t="str">
        <f>IF(SUBCONTRACTS!B4="","",SUBCONTRACTS!H9-SUBCONTRACTS!B9)</f>
        <v/>
      </c>
      <c r="G39" s="3"/>
      <c r="H39" s="3"/>
      <c r="I39" s="3"/>
    </row>
    <row r="40" spans="1:9" s="78" customFormat="1" ht="12" x14ac:dyDescent="0.2">
      <c r="A40" s="42" t="str">
        <f>IF(SUBCONTRACTS!B13="","",SUBCONTRACTS!B13)</f>
        <v/>
      </c>
      <c r="B40" s="179" t="str">
        <f>IF(SUBCONTRACTS!B14="","",SUBCONTRACTS!B14)</f>
        <v/>
      </c>
      <c r="C40" s="179"/>
      <c r="D40" s="179"/>
      <c r="E40" s="81" t="str">
        <f>IF(SUBCONTRACTS!B18=0,"",SUBCONTRACTS!B18)</f>
        <v/>
      </c>
      <c r="F40" s="81" t="str">
        <f>IF(SUBCONTRACTS!H18=0,"",SUBCONTRACTS!H18-SUBCONTRACTS!B18)</f>
        <v/>
      </c>
    </row>
    <row r="41" spans="1:9" s="26" customFormat="1" ht="12" x14ac:dyDescent="0.2">
      <c r="A41" s="42" t="str">
        <f>IF(SUBCONTRACTS!B22="","",SUBCONTRACTS!B22)</f>
        <v/>
      </c>
      <c r="B41" s="179" t="str">
        <f>IF(SUBCONTRACTS!B23="","",SUBCONTRACTS!B23)</f>
        <v/>
      </c>
      <c r="C41" s="179"/>
      <c r="D41" s="179"/>
      <c r="E41" s="81" t="str">
        <f>IF(SUBCONTRACTS!B27=0,"",SUBCONTRACTS!B27)</f>
        <v/>
      </c>
      <c r="F41" s="81" t="str">
        <f>IF(SUBCONTRACTS!H27=0,"",SUBCONTRACTS!H27-SUBCONTRACTS!B27)</f>
        <v/>
      </c>
      <c r="G41" s="3"/>
      <c r="H41" s="3"/>
      <c r="I41" s="3"/>
    </row>
    <row r="42" spans="1:9" s="26" customFormat="1" ht="12" x14ac:dyDescent="0.2">
      <c r="A42" s="42" t="str">
        <f>IF(SUBCONTRACTS!B31="","",SUBCONTRACTS!B31)</f>
        <v/>
      </c>
      <c r="B42" s="179" t="str">
        <f>IF(SUBCONTRACTS!B32="","",SUBCONTRACTS!B32)</f>
        <v/>
      </c>
      <c r="C42" s="179"/>
      <c r="D42" s="179"/>
      <c r="E42" s="81" t="str">
        <f>IF(SUBCONTRACTS!B36=0,"",SUBCONTRACTS!B36)</f>
        <v/>
      </c>
      <c r="F42" s="81" t="str">
        <f>IF(SUBCONTRACTS!H36=0,"",SUBCONTRACTS!H36-SUBCONTRACTS!B36)</f>
        <v/>
      </c>
      <c r="G42" s="3"/>
      <c r="H42" s="3"/>
      <c r="I42" s="3"/>
    </row>
    <row r="43" spans="1:9" s="26" customFormat="1" ht="12" x14ac:dyDescent="0.2">
      <c r="A43" s="42" t="str">
        <f>IF(SUBCONTRACTS!B40="","",SUBCONTRACTS!B40)</f>
        <v/>
      </c>
      <c r="B43" s="179" t="str">
        <f>IF(SUBCONTRACTS!B41="","",SUBCONTRACTS!B41)</f>
        <v/>
      </c>
      <c r="C43" s="179"/>
      <c r="D43" s="179"/>
      <c r="E43" s="81" t="str">
        <f>IF(SUBCONTRACTS!B45=0,"",SUBCONTRACTS!B45)</f>
        <v/>
      </c>
      <c r="F43" s="81" t="str">
        <f>IF(SUBCONTRACTS!H45=0,"",SUBCONTRACTS!H45-SUBCONTRACTS!B45)</f>
        <v/>
      </c>
      <c r="G43" s="3"/>
      <c r="H43" s="3"/>
      <c r="I43" s="3"/>
    </row>
    <row r="44" spans="1:9" s="26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R60"/>
  <sheetViews>
    <sheetView topLeftCell="A13"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x14ac:dyDescent="0.2">
      <c r="A2" s="93" t="s">
        <v>119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x14ac:dyDescent="0.2">
      <c r="A3" s="65" t="s">
        <v>118</v>
      </c>
    </row>
    <row r="4" spans="1:18" ht="25.5" x14ac:dyDescent="0.2">
      <c r="A4" s="94" t="s">
        <v>117</v>
      </c>
    </row>
    <row r="5" spans="1:18" x14ac:dyDescent="0.2">
      <c r="A5" s="93" t="s">
        <v>120</v>
      </c>
    </row>
    <row r="6" spans="1:18" x14ac:dyDescent="0.2">
      <c r="A6" s="65" t="s">
        <v>121</v>
      </c>
    </row>
    <row r="7" spans="1:18" x14ac:dyDescent="0.2">
      <c r="A7" s="94" t="s">
        <v>122</v>
      </c>
    </row>
    <row r="8" spans="1:18" x14ac:dyDescent="0.2">
      <c r="A8" s="94"/>
    </row>
    <row r="9" spans="1:18" x14ac:dyDescent="0.2">
      <c r="A9" s="93" t="s">
        <v>61</v>
      </c>
    </row>
    <row r="10" spans="1:18" x14ac:dyDescent="0.2">
      <c r="A10" s="65" t="s">
        <v>135</v>
      </c>
    </row>
    <row r="11" spans="1:18" x14ac:dyDescent="0.2">
      <c r="A11" s="95" t="s">
        <v>115</v>
      </c>
    </row>
    <row r="12" spans="1:18" ht="25.5" x14ac:dyDescent="0.2">
      <c r="A12" s="95" t="s">
        <v>167</v>
      </c>
    </row>
    <row r="13" spans="1:18" x14ac:dyDescent="0.2">
      <c r="A13" s="95" t="s">
        <v>123</v>
      </c>
    </row>
    <row r="14" spans="1:18" x14ac:dyDescent="0.2">
      <c r="A14" s="95" t="s">
        <v>124</v>
      </c>
    </row>
    <row r="15" spans="1:18" ht="25.5" x14ac:dyDescent="0.2">
      <c r="A15" s="95" t="s">
        <v>168</v>
      </c>
    </row>
    <row r="16" spans="1:18" x14ac:dyDescent="0.2">
      <c r="A16" s="65" t="s">
        <v>136</v>
      </c>
    </row>
    <row r="17" spans="1:1" ht="25.5" x14ac:dyDescent="0.2">
      <c r="A17" s="95" t="s">
        <v>125</v>
      </c>
    </row>
    <row r="18" spans="1:1" x14ac:dyDescent="0.2">
      <c r="A18" s="97" t="s">
        <v>62</v>
      </c>
    </row>
    <row r="19" spans="1:1" x14ac:dyDescent="0.2">
      <c r="A19" s="95" t="s">
        <v>64</v>
      </c>
    </row>
    <row r="20" spans="1:1" ht="25.5" x14ac:dyDescent="0.2">
      <c r="A20" s="95" t="s">
        <v>126</v>
      </c>
    </row>
    <row r="21" spans="1:1" ht="25.5" x14ac:dyDescent="0.2">
      <c r="A21" s="95" t="s">
        <v>127</v>
      </c>
    </row>
    <row r="22" spans="1:1" x14ac:dyDescent="0.2">
      <c r="A22" s="94" t="s">
        <v>169</v>
      </c>
    </row>
    <row r="23" spans="1:1" ht="25.5" x14ac:dyDescent="0.2">
      <c r="A23" s="94" t="s">
        <v>137</v>
      </c>
    </row>
    <row r="24" spans="1:1" x14ac:dyDescent="0.2">
      <c r="A24" s="41" t="s">
        <v>65</v>
      </c>
    </row>
    <row r="25" spans="1:1" ht="25.5" x14ac:dyDescent="0.2">
      <c r="A25" s="95" t="s">
        <v>128</v>
      </c>
    </row>
    <row r="26" spans="1:1" ht="25.5" x14ac:dyDescent="0.2">
      <c r="A26" s="95" t="s">
        <v>129</v>
      </c>
    </row>
    <row r="27" spans="1:1" x14ac:dyDescent="0.2">
      <c r="A27" s="41" t="s">
        <v>165</v>
      </c>
    </row>
    <row r="28" spans="1:1" ht="25.5" x14ac:dyDescent="0.2">
      <c r="A28" s="95" t="s">
        <v>166</v>
      </c>
    </row>
    <row r="29" spans="1:1" x14ac:dyDescent="0.2">
      <c r="A29" s="65" t="s">
        <v>130</v>
      </c>
    </row>
    <row r="30" spans="1:1" ht="25.5" x14ac:dyDescent="0.2">
      <c r="A30" s="94" t="s">
        <v>131</v>
      </c>
    </row>
    <row r="31" spans="1:1" ht="38.25" x14ac:dyDescent="0.2">
      <c r="A31" s="94" t="s">
        <v>132</v>
      </c>
    </row>
    <row r="32" spans="1:1" x14ac:dyDescent="0.2">
      <c r="A32" s="65" t="s">
        <v>133</v>
      </c>
    </row>
    <row r="33" spans="1:1" ht="25.5" x14ac:dyDescent="0.2">
      <c r="A33" s="98" t="s">
        <v>134</v>
      </c>
    </row>
    <row r="34" spans="1:1" x14ac:dyDescent="0.2">
      <c r="A34" s="65" t="s">
        <v>138</v>
      </c>
    </row>
    <row r="35" spans="1:1" x14ac:dyDescent="0.2">
      <c r="A35" s="60" t="s">
        <v>139</v>
      </c>
    </row>
    <row r="36" spans="1:1" x14ac:dyDescent="0.2">
      <c r="A36" s="60" t="s">
        <v>140</v>
      </c>
    </row>
    <row r="37" spans="1:1" x14ac:dyDescent="0.2">
      <c r="A37" s="65" t="s">
        <v>141</v>
      </c>
    </row>
    <row r="38" spans="1:1" ht="25.5" x14ac:dyDescent="0.2">
      <c r="A38" s="95" t="s">
        <v>142</v>
      </c>
    </row>
    <row r="39" spans="1:1" ht="38.25" x14ac:dyDescent="0.2">
      <c r="A39" s="95" t="s">
        <v>143</v>
      </c>
    </row>
    <row r="40" spans="1:1" x14ac:dyDescent="0.2">
      <c r="A40" s="65" t="s">
        <v>144</v>
      </c>
    </row>
    <row r="41" spans="1:1" x14ac:dyDescent="0.2">
      <c r="A41" s="95" t="s">
        <v>146</v>
      </c>
    </row>
    <row r="42" spans="1:1" x14ac:dyDescent="0.2">
      <c r="A42" s="95" t="s">
        <v>145</v>
      </c>
    </row>
    <row r="43" spans="1:1" x14ac:dyDescent="0.2">
      <c r="A43" s="65" t="s">
        <v>147</v>
      </c>
    </row>
    <row r="44" spans="1:1" x14ac:dyDescent="0.2">
      <c r="A44" s="99" t="s">
        <v>148</v>
      </c>
    </row>
    <row r="45" spans="1:1" x14ac:dyDescent="0.2">
      <c r="A45" s="65" t="s">
        <v>149</v>
      </c>
    </row>
    <row r="46" spans="1:1" x14ac:dyDescent="0.2">
      <c r="A46" s="95" t="s">
        <v>150</v>
      </c>
    </row>
    <row r="47" spans="1:1" x14ac:dyDescent="0.2">
      <c r="A47" s="100" t="s">
        <v>151</v>
      </c>
    </row>
    <row r="48" spans="1:1" x14ac:dyDescent="0.2">
      <c r="A48" s="65" t="s">
        <v>153</v>
      </c>
    </row>
    <row r="49" spans="1:1" ht="38.25" x14ac:dyDescent="0.2">
      <c r="A49" s="100" t="s">
        <v>152</v>
      </c>
    </row>
    <row r="50" spans="1:1" x14ac:dyDescent="0.2">
      <c r="A50" s="65" t="s">
        <v>154</v>
      </c>
    </row>
    <row r="51" spans="1:1" x14ac:dyDescent="0.2">
      <c r="A51" s="95" t="s">
        <v>155</v>
      </c>
    </row>
    <row r="52" spans="1:1" x14ac:dyDescent="0.2">
      <c r="A52" s="95" t="s">
        <v>156</v>
      </c>
    </row>
    <row r="53" spans="1:1" x14ac:dyDescent="0.2">
      <c r="A53" s="65" t="s">
        <v>101</v>
      </c>
    </row>
    <row r="54" spans="1:1" ht="25.5" x14ac:dyDescent="0.2">
      <c r="A54" s="95" t="s">
        <v>157</v>
      </c>
    </row>
    <row r="55" spans="1:1" x14ac:dyDescent="0.2">
      <c r="A55" s="93" t="s">
        <v>147</v>
      </c>
    </row>
    <row r="56" spans="1:1" x14ac:dyDescent="0.2">
      <c r="A56" s="65" t="s">
        <v>158</v>
      </c>
    </row>
    <row r="57" spans="1:1" x14ac:dyDescent="0.2">
      <c r="A57" s="95" t="s">
        <v>159</v>
      </c>
    </row>
    <row r="58" spans="1:1" x14ac:dyDescent="0.2">
      <c r="A58" s="95" t="s">
        <v>162</v>
      </c>
    </row>
    <row r="59" spans="1:1" x14ac:dyDescent="0.2">
      <c r="A59" s="95" t="s">
        <v>161</v>
      </c>
    </row>
    <row r="60" spans="1:1" x14ac:dyDescent="0.2">
      <c r="A60" s="95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Fell, Jason</cp:lastModifiedBy>
  <cp:lastPrinted>2012-05-07T12:30:47Z</cp:lastPrinted>
  <dcterms:created xsi:type="dcterms:W3CDTF">2010-01-07T15:31:41Z</dcterms:created>
  <dcterms:modified xsi:type="dcterms:W3CDTF">2024-03-19T15:13:53Z</dcterms:modified>
</cp:coreProperties>
</file>