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FACULTY SENATE/P&amp;B/Proposals/2025/Reading Reseach Center/"/>
    </mc:Choice>
  </mc:AlternateContent>
  <xr:revisionPtr revIDLastSave="0" documentId="8_{462271B7-F40B-4CEA-8094-B924DC5DD7B9}" xr6:coauthVersionLast="47" xr6:coauthVersionMax="47" xr10:uidLastSave="{00000000-0000-0000-0000-000000000000}"/>
  <bookViews>
    <workbookView xWindow="-108" yWindow="-108" windowWidth="23256" windowHeight="12576" xr2:uid="{3C94EA1D-10CE-6D4D-BA79-0D3FCFE77A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I75" i="1"/>
  <c r="I74" i="1"/>
  <c r="I66" i="1"/>
  <c r="I65" i="1"/>
  <c r="I46" i="1"/>
  <c r="E103" i="1"/>
  <c r="I103" i="1" s="1"/>
  <c r="H97" i="1"/>
  <c r="I97" i="1" s="1"/>
  <c r="F97" i="1"/>
  <c r="E97" i="1"/>
  <c r="H89" i="1"/>
  <c r="H105" i="1" s="1"/>
  <c r="F89" i="1"/>
  <c r="F105" i="1" s="1"/>
  <c r="E89" i="1"/>
  <c r="I88" i="1"/>
  <c r="H84" i="1"/>
  <c r="H103" i="1" s="1"/>
  <c r="F84" i="1"/>
  <c r="F103" i="1" s="1"/>
  <c r="E84" i="1"/>
  <c r="E79" i="1"/>
  <c r="E80" i="1" s="1"/>
  <c r="H76" i="1"/>
  <c r="H101" i="1" s="1"/>
  <c r="F76" i="1"/>
  <c r="F101" i="1" s="1"/>
  <c r="I101" i="1" s="1"/>
  <c r="E76" i="1"/>
  <c r="E101" i="1" s="1"/>
  <c r="F71" i="1"/>
  <c r="E71" i="1"/>
  <c r="I70" i="1"/>
  <c r="H67" i="1"/>
  <c r="H100" i="1" s="1"/>
  <c r="F67" i="1"/>
  <c r="E67" i="1"/>
  <c r="H61" i="1"/>
  <c r="H104" i="1" s="1"/>
  <c r="F61" i="1"/>
  <c r="F104" i="1" s="1"/>
  <c r="E61" i="1"/>
  <c r="I60" i="1"/>
  <c r="H56" i="1"/>
  <c r="H99" i="1" s="1"/>
  <c r="I99" i="1" s="1"/>
  <c r="F56" i="1"/>
  <c r="F99" i="1" s="1"/>
  <c r="E56" i="1"/>
  <c r="E99" i="1" s="1"/>
  <c r="I55" i="1"/>
  <c r="I51" i="1"/>
  <c r="I50" i="1"/>
  <c r="I49" i="1"/>
  <c r="L48" i="1"/>
  <c r="F48" i="1" s="1"/>
  <c r="F52" i="1" s="1"/>
  <c r="I47" i="1"/>
  <c r="I45" i="1"/>
  <c r="M43" i="1"/>
  <c r="M48" i="1" s="1"/>
  <c r="H48" i="1" s="1"/>
  <c r="H52" i="1" s="1"/>
  <c r="K42" i="1"/>
  <c r="B35" i="1"/>
  <c r="H34" i="1"/>
  <c r="H33" i="1"/>
  <c r="B33" i="1"/>
  <c r="H32" i="1"/>
  <c r="B32" i="1"/>
  <c r="H31" i="1"/>
  <c r="B31" i="1"/>
  <c r="B30" i="1"/>
  <c r="B29" i="1"/>
  <c r="B27" i="1"/>
  <c r="B25" i="1"/>
  <c r="B26" i="1"/>
  <c r="H24" i="1"/>
  <c r="F24" i="1"/>
  <c r="B24" i="1"/>
  <c r="E20" i="1"/>
  <c r="E35" i="1" s="1"/>
  <c r="F19" i="1"/>
  <c r="F34" i="1" s="1"/>
  <c r="E19" i="1"/>
  <c r="E18" i="1"/>
  <c r="F18" i="1" s="1"/>
  <c r="F33" i="1" s="1"/>
  <c r="E17" i="1"/>
  <c r="E32" i="1" s="1"/>
  <c r="E16" i="1"/>
  <c r="F16" i="1" s="1"/>
  <c r="F31" i="1" s="1"/>
  <c r="E15" i="1"/>
  <c r="E30" i="1" s="1"/>
  <c r="E14" i="1"/>
  <c r="F14" i="1" s="1"/>
  <c r="H13" i="1"/>
  <c r="H28" i="1" s="1"/>
  <c r="E13" i="1"/>
  <c r="E28" i="1" s="1"/>
  <c r="E12" i="1"/>
  <c r="E27" i="1" s="1"/>
  <c r="H10" i="1"/>
  <c r="H25" i="1" s="1"/>
  <c r="E10" i="1"/>
  <c r="F10" i="1" s="1"/>
  <c r="F25" i="1" s="1"/>
  <c r="E11" i="1"/>
  <c r="F11" i="1" s="1"/>
  <c r="E9" i="1"/>
  <c r="I9" i="1" s="1"/>
  <c r="I18" i="1" l="1"/>
  <c r="I76" i="1"/>
  <c r="I19" i="1"/>
  <c r="K48" i="1"/>
  <c r="E48" i="1" s="1"/>
  <c r="I67" i="1"/>
  <c r="I10" i="1"/>
  <c r="I16" i="1"/>
  <c r="I71" i="1"/>
  <c r="F100" i="1"/>
  <c r="E100" i="1"/>
  <c r="I56" i="1"/>
  <c r="I61" i="1"/>
  <c r="E104" i="1"/>
  <c r="I104" i="1" s="1"/>
  <c r="E31" i="1"/>
  <c r="I31" i="1" s="1"/>
  <c r="I89" i="1"/>
  <c r="E21" i="1"/>
  <c r="E95" i="1" s="1"/>
  <c r="E33" i="1"/>
  <c r="I33" i="1" s="1"/>
  <c r="E102" i="1"/>
  <c r="F98" i="1"/>
  <c r="H98" i="1"/>
  <c r="F26" i="1"/>
  <c r="H11" i="1"/>
  <c r="I11" i="1" s="1"/>
  <c r="F29" i="1"/>
  <c r="H14" i="1"/>
  <c r="F79" i="1"/>
  <c r="E26" i="1"/>
  <c r="E34" i="1"/>
  <c r="I34" i="1" s="1"/>
  <c r="E105" i="1"/>
  <c r="I105" i="1" s="1"/>
  <c r="I84" i="1"/>
  <c r="F17" i="1"/>
  <c r="E24" i="1"/>
  <c r="I24" i="1" s="1"/>
  <c r="F15" i="1"/>
  <c r="E29" i="1"/>
  <c r="F13" i="1"/>
  <c r="F28" i="1" s="1"/>
  <c r="I28" i="1" s="1"/>
  <c r="F20" i="1"/>
  <c r="E25" i="1"/>
  <c r="I25" i="1" s="1"/>
  <c r="F12" i="1"/>
  <c r="I48" i="1" l="1"/>
  <c r="E52" i="1"/>
  <c r="I52" i="1" s="1"/>
  <c r="I13" i="1"/>
  <c r="F32" i="1"/>
  <c r="I32" i="1" s="1"/>
  <c r="I17" i="1"/>
  <c r="H29" i="1"/>
  <c r="I29" i="1" s="1"/>
  <c r="I14" i="1"/>
  <c r="I100" i="1"/>
  <c r="F21" i="1"/>
  <c r="F95" i="1" s="1"/>
  <c r="F35" i="1"/>
  <c r="H20" i="1"/>
  <c r="E98" i="1"/>
  <c r="I98" i="1" s="1"/>
  <c r="H15" i="1"/>
  <c r="F30" i="1"/>
  <c r="E36" i="1"/>
  <c r="H26" i="1"/>
  <c r="I26" i="1" s="1"/>
  <c r="H12" i="1"/>
  <c r="I12" i="1" s="1"/>
  <c r="F27" i="1"/>
  <c r="F80" i="1"/>
  <c r="H79" i="1"/>
  <c r="H80" i="1" l="1"/>
  <c r="I80" i="1" s="1"/>
  <c r="I79" i="1"/>
  <c r="H35" i="1"/>
  <c r="I35" i="1" s="1"/>
  <c r="I20" i="1"/>
  <c r="H30" i="1"/>
  <c r="I30" i="1" s="1"/>
  <c r="I15" i="1"/>
  <c r="E92" i="1"/>
  <c r="F102" i="1"/>
  <c r="F92" i="1"/>
  <c r="H27" i="1"/>
  <c r="I27" i="1" s="1"/>
  <c r="H21" i="1"/>
  <c r="F36" i="1"/>
  <c r="H102" i="1"/>
  <c r="H92" i="1"/>
  <c r="I92" i="1" s="1"/>
  <c r="H36" i="1"/>
  <c r="E96" i="1"/>
  <c r="E38" i="1"/>
  <c r="I102" i="1" l="1"/>
  <c r="H96" i="1"/>
  <c r="I36" i="1"/>
  <c r="E106" i="1"/>
  <c r="F96" i="1"/>
  <c r="F106" i="1" s="1"/>
  <c r="F38" i="1"/>
  <c r="H95" i="1"/>
  <c r="H38" i="1"/>
  <c r="I38" i="1" s="1"/>
  <c r="I21" i="1"/>
  <c r="H106" i="1" l="1"/>
  <c r="I95" i="1"/>
  <c r="I106" i="1"/>
  <c r="I96" i="1"/>
  <c r="H107" i="1"/>
  <c r="F107" i="1"/>
  <c r="F109" i="1" s="1"/>
  <c r="E107" i="1"/>
  <c r="E109" i="1" s="1"/>
  <c r="H109" i="1" l="1"/>
  <c r="I109" i="1" s="1"/>
  <c r="I10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Alamo, Sean</author>
    <author>tc={8BDAC8EA-4775-6F41-A1CC-9E6CAC437D2F}</author>
  </authors>
  <commentList>
    <comment ref="D29" authorId="0" shapeId="0" xr:uid="{96CE94EE-8037-2B4D-B04C-73D6B2889F5A}">
      <text>
        <r>
          <rPr>
            <sz val="9"/>
            <color rgb="FFFF0000"/>
            <rFont val="Arial"/>
            <family val="2"/>
          </rPr>
          <t xml:space="preserve">Alamo, Sean
</t>
        </r>
        <r>
          <rPr>
            <sz val="9"/>
            <color rgb="FFFF0000"/>
            <rFont val="Arial"/>
            <family val="2"/>
          </rPr>
          <t>$3,432 + .8 = GA fringe rate</t>
        </r>
      </text>
    </comment>
    <comment ref="J43" authorId="0" shapeId="0" xr:uid="{96B5C5AC-27C2-1F4B-9113-B32A4878612F}">
      <text>
        <r>
          <rPr>
            <b/>
            <sz val="9"/>
            <color rgb="FF000000"/>
            <rFont val="Tahoma"/>
            <family val="2"/>
          </rPr>
          <t>Alamo, Sean: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Now honoraiums and are listed under supplies</t>
        </r>
      </text>
    </comment>
    <comment ref="B65" authorId="1" shapeId="0" xr:uid="{8BDAC8EA-4775-6F41-A1CC-9E6CAC437D2F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are what we call “RFAs” for research - where we fund others to do research. I think we won’t likely do this in year 1 - but we have to get it going in year 2 and beyond as it is part of our deliverables</t>
      </text>
    </comment>
  </commentList>
</comments>
</file>

<file path=xl/sharedStrings.xml><?xml version="1.0" encoding="utf-8"?>
<sst xmlns="http://schemas.openxmlformats.org/spreadsheetml/2006/main" count="121" uniqueCount="103">
  <si>
    <t>PI:</t>
  </si>
  <si>
    <t>Terry Scott</t>
  </si>
  <si>
    <t>Proposal Sponsor:</t>
  </si>
  <si>
    <t>Kentucky Department of Education</t>
  </si>
  <si>
    <t xml:space="preserve">Due Date: </t>
  </si>
  <si>
    <t>Project Title</t>
  </si>
  <si>
    <t>Kentucky Reading Research Center</t>
  </si>
  <si>
    <t>Performance Period:</t>
  </si>
  <si>
    <t>7/1/24 - 6/30/26</t>
  </si>
  <si>
    <t>7/01/24 - 6/30/25</t>
  </si>
  <si>
    <t>7/01/25 - 6/30/26</t>
  </si>
  <si>
    <t>7/01/26 - 6/30/27</t>
  </si>
  <si>
    <t>Personnel</t>
  </si>
  <si>
    <t>% Effort</t>
  </si>
  <si>
    <t>YEAR 1</t>
  </si>
  <si>
    <t>YEAR 2</t>
  </si>
  <si>
    <t>YEAR 3</t>
  </si>
  <si>
    <t>TOTAL</t>
  </si>
  <si>
    <t xml:space="preserve"> </t>
  </si>
  <si>
    <t>Jeff Valentine</t>
  </si>
  <si>
    <t>Coders (hourly)</t>
  </si>
  <si>
    <t xml:space="preserve">   TOTAL SALARIES</t>
  </si>
  <si>
    <t>FRINGES (see Fringe info below)</t>
  </si>
  <si>
    <t xml:space="preserve">    TOTAL FRIINGE</t>
  </si>
  <si>
    <t xml:space="preserve">TOTALS SAL &amp; FRINGES </t>
  </si>
  <si>
    <t>PSCs</t>
  </si>
  <si>
    <t>Year 1</t>
  </si>
  <si>
    <t>Year 2</t>
  </si>
  <si>
    <t>Year 3</t>
  </si>
  <si>
    <t xml:space="preserve">     Video</t>
  </si>
  <si>
    <t>OPERATION EXPENSES</t>
  </si>
  <si>
    <t xml:space="preserve">     Instructure/Canvas (micro-credentialing)</t>
  </si>
  <si>
    <t>Subcontracts</t>
  </si>
  <si>
    <t xml:space="preserve">     Web Services</t>
  </si>
  <si>
    <t>Total Subcontracts</t>
  </si>
  <si>
    <t xml:space="preserve">     Literacy Researchers</t>
  </si>
  <si>
    <t xml:space="preserve">     WWC Consultants</t>
  </si>
  <si>
    <t>Supplies</t>
  </si>
  <si>
    <t xml:space="preserve">     Advisory Board Members</t>
  </si>
  <si>
    <t>SCHOLARSHIPS &amp; FELLOWSHIPS-R</t>
  </si>
  <si>
    <t xml:space="preserve">     Elaine Miller,  Evaluation Expert</t>
  </si>
  <si>
    <t>SUPPLIES &amp; SERVICES-R</t>
  </si>
  <si>
    <t xml:space="preserve">     Nicholas Gage - Research Methodologist</t>
  </si>
  <si>
    <t>EQUIP-UNCAPITALIZED (&lt;$5000)-R</t>
  </si>
  <si>
    <t xml:space="preserve">     Misc</t>
  </si>
  <si>
    <t>PERSONAL SERVICES CONTRACTS-R</t>
  </si>
  <si>
    <t>SERVICES-EXTERNAL-R</t>
  </si>
  <si>
    <t>FEES-R</t>
  </si>
  <si>
    <t>RESALE OPERATIONS-R</t>
  </si>
  <si>
    <t>Total Supplies</t>
  </si>
  <si>
    <t>Equipment Over $5,000</t>
  </si>
  <si>
    <t>Total Equipment Costs</t>
  </si>
  <si>
    <t>Offisite Rental</t>
  </si>
  <si>
    <t>Total Offsite Rental Costs</t>
  </si>
  <si>
    <t>Subawards Over $25,000</t>
  </si>
  <si>
    <t>Research Subawards TBD</t>
  </si>
  <si>
    <t>GA Southern Univ</t>
  </si>
  <si>
    <t>Total Subawards &gt;$25K</t>
  </si>
  <si>
    <t>Subawards Under $25,000</t>
  </si>
  <si>
    <t>Total Subawards &lt;$25K</t>
  </si>
  <si>
    <t>Travel</t>
  </si>
  <si>
    <t>National</t>
  </si>
  <si>
    <t>State</t>
  </si>
  <si>
    <t>See here for federal travel rates</t>
  </si>
  <si>
    <t>Total Travel</t>
  </si>
  <si>
    <t>https://www.gsa.gov/travel/plan-book/per-diem-rates</t>
  </si>
  <si>
    <t>Graduate Student Tuition</t>
  </si>
  <si>
    <t>PHd GA</t>
  </si>
  <si>
    <t>Total Graduate Student Tuition</t>
  </si>
  <si>
    <t>See here for tuition rates</t>
  </si>
  <si>
    <t>https://louisville.edu/bursar/tuitionfee/tuition-rates-2020-2021</t>
  </si>
  <si>
    <t>Participant Costs</t>
  </si>
  <si>
    <t>Teacher Stipends and Evaluation Stipends</t>
  </si>
  <si>
    <t>Total Participant Costs</t>
  </si>
  <si>
    <t>Other Exclusions</t>
  </si>
  <si>
    <t>Total Other Costs</t>
  </si>
  <si>
    <t>TOTAL OPERATION COSTS</t>
  </si>
  <si>
    <t>Detailed Budget Totals:</t>
  </si>
  <si>
    <t>Salary Total</t>
  </si>
  <si>
    <t>Fringes Total</t>
  </si>
  <si>
    <t>Equipment Over $5000</t>
  </si>
  <si>
    <t>Subawards</t>
  </si>
  <si>
    <t>GA Tuition</t>
  </si>
  <si>
    <t>Offsite Rental</t>
  </si>
  <si>
    <t>GRAND TOTAL DIRECTS</t>
  </si>
  <si>
    <t>F&amp;A  @ %</t>
  </si>
  <si>
    <t>F&amp;A RATE</t>
  </si>
  <si>
    <t>See here for F&amp;A rates</t>
  </si>
  <si>
    <t>Total Requested</t>
  </si>
  <si>
    <t>https://louisville.edu/research/common/f-a-indirect-cost</t>
  </si>
  <si>
    <t>Amy Lingo (July - Sept '24)</t>
  </si>
  <si>
    <t>Marlene Parish - Observ Mgr (12mo)</t>
  </si>
  <si>
    <t>Reilly Brown - Admin (12mo)</t>
  </si>
  <si>
    <t>TBD - GA (12mo)</t>
  </si>
  <si>
    <t>Jeff Valentine (10mo)</t>
  </si>
  <si>
    <t>Erin Hogan - Co-PI (10mo)</t>
  </si>
  <si>
    <t>Todd Whitney - Co-PI (10mo)</t>
  </si>
  <si>
    <t>Terry Scott - PI (12mo)</t>
  </si>
  <si>
    <t>Denise Viola - Observ Coord (12mo)</t>
  </si>
  <si>
    <t>Gwen Berry - Research (12mo)</t>
  </si>
  <si>
    <t>Jenny Rectenwald - Comm Spec (12mo)</t>
  </si>
  <si>
    <t xml:space="preserve">     Shu-Chen Tsai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</si>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</sst>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</numFmts>
  <fonts count="3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i/>
      <sz val="8"/>
      <color indexed="10"/>
      <name val="Arial"/>
      <family val="2"/>
    </font>
    <font>
      <sz val="11"/>
      <name val="Arial"/>
      <family val="2"/>
    </font>
    <font>
      <i/>
      <sz val="11"/>
      <color indexed="10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i/>
      <sz val="8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color rgb="FF000000"/>
      <name val="Tahoma"/>
      <family val="2"/>
    </font>
    <font>
      <b/>
      <sz val="14"/>
      <color rgb="FF00B0F0"/>
      <name val="Aptos Narrow"/>
      <scheme val="minor"/>
    </font>
    <font>
      <sz val="14"/>
      <color theme="1"/>
      <name val="Aptos Narrow"/>
      <family val="2"/>
      <scheme val="minor"/>
    </font>
    <font>
      <sz val="14"/>
      <name val="Arial"/>
      <family val="2"/>
    </font>
    <font>
      <sz val="8"/>
      <color theme="4" tint="0.7999816888943144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3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4" fillId="3" borderId="0" xfId="0" applyFont="1" applyFill="1"/>
    <xf numFmtId="14" fontId="5" fillId="2" borderId="0" xfId="0" applyNumberFormat="1" applyFont="1" applyFill="1"/>
    <xf numFmtId="0" fontId="7" fillId="2" borderId="0" xfId="0" applyFont="1" applyFill="1"/>
    <xf numFmtId="0" fontId="7" fillId="3" borderId="0" xfId="0" applyFont="1" applyFill="1"/>
    <xf numFmtId="17" fontId="3" fillId="0" borderId="0" xfId="0" applyNumberFormat="1" applyFont="1"/>
    <xf numFmtId="0" fontId="9" fillId="3" borderId="0" xfId="0" applyFont="1" applyFill="1"/>
    <xf numFmtId="0" fontId="0" fillId="3" borderId="0" xfId="0" applyFill="1"/>
    <xf numFmtId="0" fontId="10" fillId="2" borderId="0" xfId="0" applyFont="1" applyFill="1"/>
    <xf numFmtId="0" fontId="8" fillId="2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17" fontId="17" fillId="4" borderId="0" xfId="0" applyNumberFormat="1" applyFont="1" applyFill="1"/>
    <xf numFmtId="165" fontId="18" fillId="2" borderId="0" xfId="3" applyNumberFormat="1" applyFont="1" applyFill="1"/>
    <xf numFmtId="164" fontId="15" fillId="0" borderId="0" xfId="1" applyNumberFormat="1" applyFont="1" applyAlignment="1">
      <alignment horizontal="center" wrapText="1"/>
    </xf>
    <xf numFmtId="164" fontId="15" fillId="5" borderId="0" xfId="1" applyNumberFormat="1" applyFont="1" applyFill="1" applyAlignment="1">
      <alignment horizontal="center" wrapText="1"/>
    </xf>
    <xf numFmtId="0" fontId="18" fillId="0" borderId="0" xfId="0" applyFont="1"/>
    <xf numFmtId="0" fontId="4" fillId="0" borderId="0" xfId="0" applyFont="1"/>
    <xf numFmtId="1" fontId="0" fillId="0" borderId="0" xfId="0" applyNumberFormat="1"/>
    <xf numFmtId="0" fontId="8" fillId="0" borderId="0" xfId="0" applyFont="1"/>
    <xf numFmtId="0" fontId="19" fillId="0" borderId="0" xfId="0" applyFont="1"/>
    <xf numFmtId="164" fontId="15" fillId="0" borderId="0" xfId="2" applyNumberFormat="1" applyFont="1"/>
    <xf numFmtId="9" fontId="15" fillId="0" borderId="0" xfId="3" applyFont="1"/>
    <xf numFmtId="164" fontId="15" fillId="0" borderId="1" xfId="2" applyNumberFormat="1" applyFont="1" applyBorder="1" applyAlignment="1">
      <alignment horizontal="center" wrapText="1"/>
    </xf>
    <xf numFmtId="0" fontId="20" fillId="0" borderId="0" xfId="0" applyFont="1"/>
    <xf numFmtId="164" fontId="9" fillId="0" borderId="0" xfId="2" applyNumberFormat="1" applyFont="1"/>
    <xf numFmtId="164" fontId="15" fillId="0" borderId="0" xfId="2" applyNumberFormat="1" applyFont="1" applyBorder="1" applyAlignment="1">
      <alignment horizontal="center" wrapText="1"/>
    </xf>
    <xf numFmtId="164" fontId="15" fillId="0" borderId="0" xfId="0" applyNumberFormat="1" applyFont="1" applyAlignment="1">
      <alignment horizontal="center" wrapText="1"/>
    </xf>
    <xf numFmtId="164" fontId="15" fillId="0" borderId="0" xfId="2" applyNumberFormat="1" applyFont="1" applyFill="1" applyBorder="1"/>
    <xf numFmtId="2" fontId="15" fillId="0" borderId="0" xfId="2" applyNumberFormat="1" applyFont="1"/>
    <xf numFmtId="164" fontId="15" fillId="0" borderId="0" xfId="2" applyNumberFormat="1" applyFont="1" applyAlignment="1">
      <alignment horizontal="center" wrapText="1"/>
    </xf>
    <xf numFmtId="9" fontId="0" fillId="0" borderId="0" xfId="3" applyFont="1" applyFill="1"/>
    <xf numFmtId="0" fontId="21" fillId="0" borderId="0" xfId="0" applyFont="1"/>
    <xf numFmtId="164" fontId="18" fillId="0" borderId="0" xfId="2" applyNumberFormat="1" applyFont="1"/>
    <xf numFmtId="10" fontId="18" fillId="2" borderId="0" xfId="3" applyNumberFormat="1" applyFont="1" applyFill="1"/>
    <xf numFmtId="0" fontId="17" fillId="0" borderId="0" xfId="0" applyFont="1"/>
    <xf numFmtId="10" fontId="15" fillId="2" borderId="0" xfId="3" applyNumberFormat="1" applyFont="1" applyFill="1"/>
    <xf numFmtId="164" fontId="18" fillId="0" borderId="0" xfId="2" applyNumberFormat="1" applyFont="1" applyAlignment="1">
      <alignment horizontal="center" wrapText="1"/>
    </xf>
    <xf numFmtId="164" fontId="0" fillId="0" borderId="0" xfId="0" applyNumberFormat="1"/>
    <xf numFmtId="17" fontId="17" fillId="0" borderId="0" xfId="0" applyNumberFormat="1" applyFont="1"/>
    <xf numFmtId="0" fontId="22" fillId="0" borderId="0" xfId="0" applyFont="1"/>
    <xf numFmtId="164" fontId="15" fillId="0" borderId="2" xfId="2" applyNumberFormat="1" applyFont="1" applyFill="1" applyBorder="1"/>
    <xf numFmtId="0" fontId="20" fillId="0" borderId="1" xfId="0" applyFont="1" applyBorder="1"/>
    <xf numFmtId="0" fontId="0" fillId="0" borderId="1" xfId="0" applyBorder="1"/>
    <xf numFmtId="0" fontId="0" fillId="6" borderId="3" xfId="0" applyFill="1" applyBorder="1"/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164" fontId="23" fillId="0" borderId="0" xfId="2" applyNumberFormat="1" applyFont="1" applyBorder="1" applyAlignment="1">
      <alignment horizontal="center" wrapText="1"/>
    </xf>
    <xf numFmtId="164" fontId="23" fillId="0" borderId="0" xfId="0" applyNumberFormat="1" applyFont="1" applyAlignment="1">
      <alignment horizontal="center" wrapText="1"/>
    </xf>
    <xf numFmtId="0" fontId="16" fillId="5" borderId="7" xfId="0" applyFont="1" applyFill="1" applyBorder="1"/>
    <xf numFmtId="44" fontId="0" fillId="5" borderId="8" xfId="2" applyFont="1" applyFill="1" applyBorder="1"/>
    <xf numFmtId="166" fontId="0" fillId="5" borderId="9" xfId="0" applyNumberFormat="1" applyFill="1" applyBorder="1"/>
    <xf numFmtId="166" fontId="0" fillId="5" borderId="10" xfId="0" applyNumberFormat="1" applyFill="1" applyBorder="1"/>
    <xf numFmtId="0" fontId="16" fillId="5" borderId="11" xfId="0" applyFont="1" applyFill="1" applyBorder="1"/>
    <xf numFmtId="44" fontId="0" fillId="5" borderId="12" xfId="2" applyFont="1" applyFill="1" applyBorder="1"/>
    <xf numFmtId="166" fontId="0" fillId="5" borderId="13" xfId="0" applyNumberFormat="1" applyFill="1" applyBorder="1"/>
    <xf numFmtId="166" fontId="0" fillId="5" borderId="14" xfId="0" applyNumberFormat="1" applyFill="1" applyBorder="1"/>
    <xf numFmtId="164" fontId="19" fillId="0" borderId="0" xfId="2" applyNumberFormat="1" applyFont="1" applyFill="1"/>
    <xf numFmtId="44" fontId="15" fillId="0" borderId="0" xfId="0" applyNumberFormat="1" applyFont="1"/>
    <xf numFmtId="0" fontId="0" fillId="5" borderId="11" xfId="0" applyFill="1" applyBorder="1"/>
    <xf numFmtId="164" fontId="19" fillId="0" borderId="0" xfId="2" applyNumberFormat="1" applyFont="1"/>
    <xf numFmtId="164" fontId="15" fillId="7" borderId="1" xfId="2" applyNumberFormat="1" applyFont="1" applyFill="1" applyBorder="1" applyAlignment="1">
      <alignment horizontal="center" wrapText="1"/>
    </xf>
    <xf numFmtId="164" fontId="15" fillId="0" borderId="0" xfId="2" applyNumberFormat="1" applyFont="1" applyFill="1" applyBorder="1" applyAlignment="1">
      <alignment horizontal="center" wrapText="1"/>
    </xf>
    <xf numFmtId="164" fontId="24" fillId="0" borderId="0" xfId="2" applyNumberFormat="1" applyFont="1"/>
    <xf numFmtId="0" fontId="25" fillId="0" borderId="0" xfId="0" applyFont="1"/>
    <xf numFmtId="164" fontId="15" fillId="0" borderId="0" xfId="2" applyNumberFormat="1" applyFont="1" applyFill="1" applyAlignment="1">
      <alignment horizontal="center" wrapText="1"/>
    </xf>
    <xf numFmtId="164" fontId="15" fillId="2" borderId="0" xfId="2" quotePrefix="1" applyNumberFormat="1" applyFont="1" applyFill="1" applyAlignment="1">
      <alignment horizontal="center" wrapText="1"/>
    </xf>
    <xf numFmtId="164" fontId="15" fillId="2" borderId="0" xfId="2" applyNumberFormat="1" applyFont="1" applyFill="1" applyBorder="1"/>
    <xf numFmtId="0" fontId="0" fillId="5" borderId="15" xfId="0" applyFill="1" applyBorder="1"/>
    <xf numFmtId="44" fontId="0" fillId="5" borderId="16" xfId="2" applyFont="1" applyFill="1" applyBorder="1"/>
    <xf numFmtId="166" fontId="0" fillId="5" borderId="17" xfId="0" applyNumberFormat="1" applyFill="1" applyBorder="1"/>
    <xf numFmtId="0" fontId="0" fillId="5" borderId="18" xfId="0" applyFill="1" applyBorder="1"/>
    <xf numFmtId="164" fontId="15" fillId="2" borderId="4" xfId="2" quotePrefix="1" applyNumberFormat="1" applyFont="1" applyFill="1" applyBorder="1" applyAlignment="1">
      <alignment horizontal="center" wrapText="1"/>
    </xf>
    <xf numFmtId="164" fontId="15" fillId="2" borderId="19" xfId="2" quotePrefix="1" applyNumberFormat="1" applyFont="1" applyFill="1" applyBorder="1" applyAlignment="1">
      <alignment horizontal="center" wrapText="1"/>
    </xf>
    <xf numFmtId="44" fontId="0" fillId="6" borderId="4" xfId="0" applyNumberFormat="1" applyFill="1" applyBorder="1"/>
    <xf numFmtId="166" fontId="0" fillId="6" borderId="5" xfId="0" applyNumberFormat="1" applyFill="1" applyBorder="1"/>
    <xf numFmtId="166" fontId="0" fillId="6" borderId="6" xfId="0" applyNumberFormat="1" applyFill="1" applyBorder="1"/>
    <xf numFmtId="164" fontId="15" fillId="7" borderId="1" xfId="2" applyNumberFormat="1" applyFont="1" applyFill="1" applyBorder="1"/>
    <xf numFmtId="0" fontId="15" fillId="2" borderId="0" xfId="0" applyFont="1" applyFill="1"/>
    <xf numFmtId="164" fontId="19" fillId="2" borderId="0" xfId="2" applyNumberFormat="1" applyFont="1" applyFill="1"/>
    <xf numFmtId="44" fontId="15" fillId="2" borderId="0" xfId="0" applyNumberFormat="1" applyFont="1" applyFill="1"/>
    <xf numFmtId="164" fontId="15" fillId="2" borderId="2" xfId="2" quotePrefix="1" applyNumberFormat="1" applyFont="1" applyFill="1" applyBorder="1" applyAlignment="1">
      <alignment horizontal="center" wrapText="1"/>
    </xf>
    <xf numFmtId="164" fontId="15" fillId="7" borderId="20" xfId="2" applyNumberFormat="1" applyFont="1" applyFill="1" applyBorder="1" applyAlignment="1">
      <alignment horizontal="center" wrapText="1"/>
    </xf>
    <xf numFmtId="0" fontId="2" fillId="0" borderId="0" xfId="4"/>
    <xf numFmtId="42" fontId="15" fillId="2" borderId="2" xfId="2" quotePrefix="1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44" fontId="0" fillId="0" borderId="0" xfId="2" applyFont="1"/>
    <xf numFmtId="0" fontId="3" fillId="4" borderId="0" xfId="0" applyFont="1" applyFill="1"/>
    <xf numFmtId="164" fontId="15" fillId="4" borderId="21" xfId="2" applyNumberFormat="1" applyFont="1" applyFill="1" applyBorder="1" applyAlignment="1">
      <alignment horizontal="center" wrapText="1"/>
    </xf>
    <xf numFmtId="9" fontId="17" fillId="2" borderId="0" xfId="0" applyNumberFormat="1" applyFont="1" applyFill="1"/>
    <xf numFmtId="164" fontId="15" fillId="0" borderId="22" xfId="2" applyNumberFormat="1" applyFont="1" applyFill="1" applyBorder="1" applyAlignment="1">
      <alignment horizontal="center" wrapText="1"/>
    </xf>
    <xf numFmtId="0" fontId="27" fillId="0" borderId="0" xfId="0" applyFont="1"/>
    <xf numFmtId="164" fontId="27" fillId="6" borderId="1" xfId="2" applyNumberFormat="1" applyFont="1" applyFill="1" applyBorder="1" applyAlignment="1">
      <alignment horizontal="center" wrapText="1"/>
    </xf>
    <xf numFmtId="164" fontId="27" fillId="6" borderId="5" xfId="2" applyNumberFormat="1" applyFont="1" applyFill="1" applyBorder="1" applyAlignment="1">
      <alignment horizontal="center" wrapText="1"/>
    </xf>
    <xf numFmtId="164" fontId="15" fillId="0" borderId="0" xfId="2" applyNumberFormat="1" applyFont="1" applyFill="1" applyBorder="1" applyAlignment="1">
      <alignment horizontal="center"/>
    </xf>
    <xf numFmtId="164" fontId="32" fillId="2" borderId="0" xfId="2" applyNumberFormat="1" applyFont="1" applyFill="1"/>
    <xf numFmtId="0" fontId="0" fillId="5" borderId="26" xfId="0" applyFill="1" applyBorder="1"/>
    <xf numFmtId="164" fontId="15" fillId="0" borderId="20" xfId="2" applyNumberFormat="1" applyFont="1" applyBorder="1" applyAlignment="1">
      <alignment horizontal="center" wrapText="1"/>
    </xf>
    <xf numFmtId="164" fontId="15" fillId="0" borderId="2" xfId="2" applyNumberFormat="1" applyFont="1" applyFill="1" applyBorder="1" applyAlignment="1">
      <alignment horizontal="center" wrapText="1"/>
    </xf>
    <xf numFmtId="164" fontId="15" fillId="0" borderId="1" xfId="2" applyNumberFormat="1" applyFont="1" applyFill="1" applyBorder="1" applyAlignment="1">
      <alignment horizontal="center" wrapText="1"/>
    </xf>
    <xf numFmtId="164" fontId="15" fillId="0" borderId="27" xfId="2" applyNumberFormat="1" applyFont="1" applyFill="1" applyBorder="1" applyAlignment="1">
      <alignment horizontal="center" wrapText="1"/>
    </xf>
    <xf numFmtId="0" fontId="0" fillId="2" borderId="25" xfId="0" applyFill="1" applyBorder="1"/>
    <xf numFmtId="164" fontId="15" fillId="2" borderId="6" xfId="2" applyNumberFormat="1" applyFont="1" applyFill="1" applyBorder="1"/>
    <xf numFmtId="164" fontId="15" fillId="5" borderId="0" xfId="0" applyNumberFormat="1" applyFont="1" applyFill="1" applyAlignment="1">
      <alignment horizontal="center" wrapText="1"/>
    </xf>
    <xf numFmtId="164" fontId="15" fillId="5" borderId="1" xfId="2" applyNumberFormat="1" applyFont="1" applyFill="1" applyBorder="1" applyAlignment="1">
      <alignment horizontal="center" wrapText="1"/>
    </xf>
    <xf numFmtId="164" fontId="15" fillId="5" borderId="0" xfId="2" applyNumberFormat="1" applyFont="1" applyFill="1" applyBorder="1" applyAlignment="1">
      <alignment horizontal="center" wrapText="1"/>
    </xf>
    <xf numFmtId="164" fontId="23" fillId="5" borderId="0" xfId="0" applyNumberFormat="1" applyFont="1" applyFill="1" applyAlignment="1">
      <alignment horizontal="center" wrapText="1"/>
    </xf>
    <xf numFmtId="0" fontId="0" fillId="5" borderId="0" xfId="0" applyFill="1"/>
    <xf numFmtId="0" fontId="30" fillId="5" borderId="0" xfId="0" applyFont="1" applyFill="1"/>
    <xf numFmtId="3" fontId="29" fillId="0" borderId="23" xfId="0" applyNumberFormat="1" applyFont="1" applyBorder="1" applyAlignment="1">
      <alignment horizontal="center"/>
    </xf>
    <xf numFmtId="0" fontId="30" fillId="5" borderId="0" xfId="0" applyFont="1" applyFill="1" applyAlignment="1">
      <alignment horizontal="center"/>
    </xf>
    <xf numFmtId="0" fontId="26" fillId="0" borderId="0" xfId="0" applyFont="1"/>
    <xf numFmtId="164" fontId="31" fillId="6" borderId="24" xfId="2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ott, Terry" id="{A369E85F-4121-7E4C-839E-E97495B76133}" userId="S::tmscot06@louisville.edu::2232a92c-6d36-4af2-9a4f-99fbcf07a49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5" dT="2024-10-01T13:13:05.29" personId="{A369E85F-4121-7E4C-839E-E97495B76133}" id="{8BDAC8EA-4775-6F41-A1CC-9E6CAC437D2F}">
    <text>These are what we call “RFAs” for research - where we fund others to do research. I think we won’t likely do this in year 1 - but we have to get it going in year 2 and beyond as it is part of our deliverables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louisville.edu/research/common/f-a-indirect-cost" TargetMode="External"/><Relationship Id="rId1" Type="http://schemas.openxmlformats.org/officeDocument/2006/relationships/hyperlink" Target="https://www.gsa.gov/travel/plan-book/per-diem-rates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71F6-1B8D-464A-BD7B-0C9CFE8DE714}">
  <dimension ref="A1:P110"/>
  <sheetViews>
    <sheetView tabSelected="1" topLeftCell="A96" zoomScale="130" zoomScaleNormal="130" workbookViewId="0">
      <pane xSplit="29280" topLeftCell="G1"/>
      <selection activeCell="F113" sqref="F113"/>
      <selection pane="topRight" activeCell="G95" sqref="G95"/>
    </sheetView>
  </sheetViews>
  <sheetFormatPr defaultColWidth="8.796875" defaultRowHeight="15.6" x14ac:dyDescent="0.3"/>
  <cols>
    <col min="1" max="1" width="7" customWidth="1"/>
    <col min="2" max="2" width="29" customWidth="1"/>
    <col min="3" max="4" width="12.296875" customWidth="1"/>
    <col min="5" max="6" width="16.796875" customWidth="1"/>
    <col min="7" max="7" width="8.19921875" customWidth="1"/>
    <col min="8" max="8" width="18.296875" customWidth="1"/>
    <col min="9" max="9" width="16.69921875" customWidth="1"/>
    <col min="10" max="10" width="33.5" customWidth="1"/>
    <col min="11" max="11" width="16.69921875" customWidth="1"/>
    <col min="12" max="12" width="18.796875" customWidth="1"/>
    <col min="13" max="13" width="16.69921875" customWidth="1"/>
    <col min="14" max="14" width="12.69921875" customWidth="1"/>
  </cols>
  <sheetData>
    <row r="1" spans="1:16" x14ac:dyDescent="0.3">
      <c r="B1" s="1" t="s">
        <v>0</v>
      </c>
      <c r="C1" s="2" t="s">
        <v>1</v>
      </c>
      <c r="D1" s="2"/>
      <c r="E1" s="3"/>
      <c r="F1" s="4"/>
      <c r="G1" s="4"/>
      <c r="H1" s="4"/>
      <c r="I1" s="5"/>
    </row>
    <row r="2" spans="1:16" x14ac:dyDescent="0.3">
      <c r="B2" s="1" t="s">
        <v>2</v>
      </c>
      <c r="C2" s="2" t="s">
        <v>3</v>
      </c>
      <c r="D2" s="2"/>
      <c r="E2" s="6"/>
      <c r="F2" s="7"/>
      <c r="G2" s="7"/>
      <c r="H2" s="7"/>
      <c r="I2" s="2"/>
    </row>
    <row r="3" spans="1:16" x14ac:dyDescent="0.3">
      <c r="B3" s="8" t="s">
        <v>4</v>
      </c>
      <c r="C3" s="124"/>
      <c r="D3" s="124"/>
      <c r="E3" s="9"/>
      <c r="F3" s="10"/>
      <c r="G3" s="10"/>
      <c r="H3" s="10"/>
      <c r="I3" s="2"/>
    </row>
    <row r="4" spans="1:16" x14ac:dyDescent="0.3">
      <c r="B4" s="8" t="s">
        <v>5</v>
      </c>
      <c r="C4" s="2" t="s">
        <v>6</v>
      </c>
      <c r="D4" s="2"/>
      <c r="E4" s="11"/>
      <c r="F4" s="9"/>
      <c r="G4" s="9"/>
      <c r="H4" s="9"/>
      <c r="I4" s="2"/>
    </row>
    <row r="5" spans="1:16" x14ac:dyDescent="0.3">
      <c r="B5" s="8" t="s">
        <v>7</v>
      </c>
      <c r="C5" s="12" t="s">
        <v>8</v>
      </c>
      <c r="D5" s="2"/>
      <c r="E5" s="11"/>
      <c r="F5" s="9"/>
      <c r="G5" s="9"/>
      <c r="H5" s="9"/>
      <c r="I5" s="2"/>
    </row>
    <row r="6" spans="1:16" x14ac:dyDescent="0.3">
      <c r="B6" s="8"/>
      <c r="C6" s="8"/>
      <c r="D6" s="8"/>
      <c r="E6" s="8"/>
      <c r="F6" s="8"/>
      <c r="G6" s="8"/>
      <c r="H6" s="8"/>
      <c r="I6" s="8"/>
      <c r="J6" s="8"/>
    </row>
    <row r="7" spans="1:16" s="13" customFormat="1" ht="14.4" x14ac:dyDescent="0.3">
      <c r="B7" s="14"/>
      <c r="E7" s="15" t="s">
        <v>9</v>
      </c>
      <c r="F7" s="15" t="s">
        <v>10</v>
      </c>
      <c r="G7" s="15"/>
      <c r="H7" s="15" t="s">
        <v>11</v>
      </c>
      <c r="I7" s="16"/>
    </row>
    <row r="8" spans="1:16" x14ac:dyDescent="0.3">
      <c r="B8" s="17" t="s">
        <v>12</v>
      </c>
      <c r="C8" s="18"/>
      <c r="D8" s="17" t="s">
        <v>13</v>
      </c>
      <c r="E8" s="19" t="s">
        <v>14</v>
      </c>
      <c r="F8" s="19" t="s">
        <v>15</v>
      </c>
      <c r="G8" s="17" t="s">
        <v>13</v>
      </c>
      <c r="H8" s="19" t="s">
        <v>16</v>
      </c>
      <c r="I8" s="19" t="s">
        <v>17</v>
      </c>
      <c r="L8" s="20"/>
      <c r="M8" s="20"/>
      <c r="N8" s="20"/>
      <c r="O8" s="20"/>
    </row>
    <row r="9" spans="1:16" s="21" customFormat="1" ht="13.2" x14ac:dyDescent="0.25">
      <c r="B9" s="22" t="s">
        <v>90</v>
      </c>
      <c r="C9" s="106">
        <v>260000</v>
      </c>
      <c r="D9" s="23">
        <v>1</v>
      </c>
      <c r="E9" s="24">
        <f>(D9*C9)*0.25</f>
        <v>65000</v>
      </c>
      <c r="F9" s="25">
        <v>0</v>
      </c>
      <c r="G9" s="23">
        <v>0</v>
      </c>
      <c r="H9" s="25">
        <v>0</v>
      </c>
      <c r="I9" s="73">
        <f t="shared" ref="I9:I20" si="0">H9+F9+E9</f>
        <v>65000</v>
      </c>
      <c r="J9" s="26" t="s">
        <v>18</v>
      </c>
      <c r="L9" s="26"/>
      <c r="M9" s="26"/>
      <c r="N9" s="26"/>
      <c r="O9" s="26"/>
    </row>
    <row r="10" spans="1:16" x14ac:dyDescent="0.3">
      <c r="B10" s="22" t="s">
        <v>97</v>
      </c>
      <c r="C10" s="106">
        <v>210171</v>
      </c>
      <c r="D10" s="23">
        <v>0.65</v>
      </c>
      <c r="E10" s="24">
        <f>C10*D10</f>
        <v>136611.15</v>
      </c>
      <c r="F10" s="24">
        <f>E10*1.03</f>
        <v>140709.48449999999</v>
      </c>
      <c r="G10" s="23">
        <v>0.5</v>
      </c>
      <c r="H10" s="24">
        <f>((210181*1.03)*1.03)*0.5</f>
        <v>111490.51145000001</v>
      </c>
      <c r="I10" s="73">
        <f t="shared" si="0"/>
        <v>388811.14595000003</v>
      </c>
      <c r="J10" s="20" t="s">
        <v>18</v>
      </c>
      <c r="K10" s="27"/>
      <c r="L10" s="20"/>
      <c r="M10" s="20"/>
      <c r="N10" s="20"/>
      <c r="O10" s="20"/>
    </row>
    <row r="11" spans="1:16" x14ac:dyDescent="0.3">
      <c r="B11" s="22" t="s">
        <v>96</v>
      </c>
      <c r="C11" s="106">
        <v>82581.279999999999</v>
      </c>
      <c r="D11" s="23">
        <v>0.2</v>
      </c>
      <c r="E11" s="24">
        <f>D11*C11</f>
        <v>16516.256000000001</v>
      </c>
      <c r="F11" s="24">
        <f>E11*1.03</f>
        <v>17011.743680000003</v>
      </c>
      <c r="G11" s="23">
        <v>0.2</v>
      </c>
      <c r="H11" s="24">
        <f>F11*1.03</f>
        <v>17522.095990400005</v>
      </c>
      <c r="I11" s="73">
        <f t="shared" si="0"/>
        <v>51050.095670400005</v>
      </c>
      <c r="J11" s="20" t="s">
        <v>18</v>
      </c>
      <c r="K11" s="27"/>
      <c r="L11" s="20"/>
      <c r="M11" s="20"/>
      <c r="N11" s="20"/>
      <c r="O11" s="20"/>
    </row>
    <row r="12" spans="1:16" x14ac:dyDescent="0.3">
      <c r="B12" s="22" t="s">
        <v>95</v>
      </c>
      <c r="C12" s="106">
        <v>75190</v>
      </c>
      <c r="D12" s="23">
        <v>0.2</v>
      </c>
      <c r="E12" s="24">
        <f>C12*D12</f>
        <v>15038</v>
      </c>
      <c r="F12" s="24">
        <f t="shared" ref="F12:F20" si="1">E12*1.03</f>
        <v>15489.140000000001</v>
      </c>
      <c r="G12" s="23">
        <v>0.2</v>
      </c>
      <c r="H12" s="24">
        <f>F12*1.03</f>
        <v>15953.814200000003</v>
      </c>
      <c r="I12" s="73">
        <f t="shared" si="0"/>
        <v>46480.954200000007</v>
      </c>
      <c r="J12" s="20" t="s">
        <v>18</v>
      </c>
      <c r="K12" s="27"/>
      <c r="L12" s="20"/>
      <c r="M12" s="20"/>
      <c r="N12" s="20"/>
      <c r="O12" s="20"/>
    </row>
    <row r="13" spans="1:16" x14ac:dyDescent="0.3">
      <c r="B13" s="22" t="s">
        <v>94</v>
      </c>
      <c r="C13" s="106">
        <v>104969.36</v>
      </c>
      <c r="D13" s="23">
        <v>0.3</v>
      </c>
      <c r="E13" s="24">
        <f t="shared" ref="E13:E20" si="2">D13*C13</f>
        <v>31490.807999999997</v>
      </c>
      <c r="F13" s="24">
        <f t="shared" si="1"/>
        <v>32435.532239999997</v>
      </c>
      <c r="G13" s="23">
        <v>0.1</v>
      </c>
      <c r="H13" s="24">
        <f>((C13*1.03)*1.03)*0.1</f>
        <v>11136.199402400001</v>
      </c>
      <c r="I13" s="73">
        <f t="shared" si="0"/>
        <v>75062.539642399992</v>
      </c>
      <c r="J13" s="20"/>
      <c r="K13" s="27"/>
      <c r="L13" s="20"/>
      <c r="M13" s="20"/>
      <c r="N13" s="20"/>
      <c r="O13" s="20"/>
    </row>
    <row r="14" spans="1:16" x14ac:dyDescent="0.3">
      <c r="A14" s="28"/>
      <c r="B14" s="22" t="s">
        <v>93</v>
      </c>
      <c r="C14" s="106">
        <v>26000</v>
      </c>
      <c r="D14" s="23">
        <v>1</v>
      </c>
      <c r="E14" s="24">
        <f t="shared" si="2"/>
        <v>26000</v>
      </c>
      <c r="F14" s="24">
        <f t="shared" si="1"/>
        <v>26780</v>
      </c>
      <c r="G14" s="23">
        <v>1</v>
      </c>
      <c r="H14" s="24">
        <f>F14*1.03</f>
        <v>27583.4</v>
      </c>
      <c r="I14" s="73">
        <f t="shared" si="0"/>
        <v>80363.399999999994</v>
      </c>
      <c r="J14" s="20"/>
      <c r="K14" s="27"/>
      <c r="L14" s="29"/>
      <c r="M14" s="29"/>
      <c r="N14" s="29"/>
      <c r="O14" s="29"/>
      <c r="P14" s="29"/>
    </row>
    <row r="15" spans="1:16" x14ac:dyDescent="0.3">
      <c r="B15" s="22" t="s">
        <v>92</v>
      </c>
      <c r="C15" s="106">
        <v>62500</v>
      </c>
      <c r="D15" s="23">
        <v>1</v>
      </c>
      <c r="E15" s="24">
        <f t="shared" si="2"/>
        <v>62500</v>
      </c>
      <c r="F15" s="24">
        <f t="shared" si="1"/>
        <v>64375</v>
      </c>
      <c r="G15" s="23">
        <v>1</v>
      </c>
      <c r="H15" s="24">
        <f>F15*1.03</f>
        <v>66306.25</v>
      </c>
      <c r="I15" s="73">
        <f t="shared" si="0"/>
        <v>193181.25</v>
      </c>
      <c r="J15" s="20"/>
      <c r="K15" s="27"/>
      <c r="L15" s="20"/>
      <c r="M15" s="20"/>
      <c r="N15" s="20"/>
      <c r="O15" s="20"/>
    </row>
    <row r="16" spans="1:16" x14ac:dyDescent="0.3">
      <c r="B16" s="22" t="s">
        <v>91</v>
      </c>
      <c r="C16" s="106">
        <v>56000</v>
      </c>
      <c r="D16" s="23">
        <v>0.1</v>
      </c>
      <c r="E16" s="24">
        <f>C16*D16</f>
        <v>5600</v>
      </c>
      <c r="F16" s="24">
        <f t="shared" si="1"/>
        <v>5768</v>
      </c>
      <c r="G16" s="23">
        <v>0</v>
      </c>
      <c r="H16" s="25">
        <v>0</v>
      </c>
      <c r="I16" s="73">
        <f t="shared" si="0"/>
        <v>11368</v>
      </c>
      <c r="J16" s="20"/>
      <c r="K16" s="27"/>
      <c r="L16" s="20"/>
      <c r="M16" s="20"/>
      <c r="N16" s="20"/>
      <c r="O16" s="20"/>
    </row>
    <row r="17" spans="2:15" x14ac:dyDescent="0.3">
      <c r="B17" s="22" t="s">
        <v>98</v>
      </c>
      <c r="C17" s="106">
        <v>40000</v>
      </c>
      <c r="D17" s="23">
        <v>0.15</v>
      </c>
      <c r="E17" s="24">
        <f>C17*D17</f>
        <v>6000</v>
      </c>
      <c r="F17" s="24">
        <f t="shared" si="1"/>
        <v>6180</v>
      </c>
      <c r="G17" s="23">
        <v>0</v>
      </c>
      <c r="H17" s="25">
        <v>0</v>
      </c>
      <c r="I17" s="73">
        <f t="shared" si="0"/>
        <v>12180</v>
      </c>
      <c r="J17" s="20"/>
      <c r="K17" s="27"/>
      <c r="L17" s="20"/>
      <c r="M17" s="20"/>
      <c r="N17" s="20"/>
      <c r="O17" s="20"/>
    </row>
    <row r="18" spans="2:15" x14ac:dyDescent="0.3">
      <c r="B18" s="22" t="s">
        <v>99</v>
      </c>
      <c r="C18" s="106">
        <v>85000</v>
      </c>
      <c r="D18" s="23">
        <v>0.1</v>
      </c>
      <c r="E18" s="24">
        <f>D18*C18</f>
        <v>8500</v>
      </c>
      <c r="F18" s="24">
        <f>E18*1.03</f>
        <v>8755</v>
      </c>
      <c r="G18" s="23">
        <v>0</v>
      </c>
      <c r="H18" s="25">
        <v>0</v>
      </c>
      <c r="I18" s="73">
        <f t="shared" si="0"/>
        <v>17255</v>
      </c>
      <c r="J18" s="20"/>
      <c r="K18" s="27"/>
      <c r="L18" s="20"/>
      <c r="M18" s="20"/>
      <c r="N18" s="20"/>
      <c r="O18" s="20"/>
    </row>
    <row r="19" spans="2:15" x14ac:dyDescent="0.3">
      <c r="B19" s="22" t="s">
        <v>20</v>
      </c>
      <c r="C19" s="106">
        <v>80000</v>
      </c>
      <c r="D19" s="23">
        <v>1</v>
      </c>
      <c r="E19" s="24">
        <f>C19*D19</f>
        <v>80000</v>
      </c>
      <c r="F19" s="24">
        <f>D19*C19</f>
        <v>80000</v>
      </c>
      <c r="G19" s="23">
        <v>0</v>
      </c>
      <c r="H19" s="25">
        <v>0</v>
      </c>
      <c r="I19" s="73">
        <f t="shared" si="0"/>
        <v>160000</v>
      </c>
      <c r="J19" s="20"/>
      <c r="K19" s="27"/>
      <c r="L19" s="20"/>
      <c r="M19" s="20"/>
      <c r="N19" s="20"/>
      <c r="O19" s="20"/>
    </row>
    <row r="20" spans="2:15" x14ac:dyDescent="0.3">
      <c r="B20" s="22" t="s">
        <v>100</v>
      </c>
      <c r="C20" s="106">
        <v>91000</v>
      </c>
      <c r="D20" s="23">
        <v>1</v>
      </c>
      <c r="E20" s="24">
        <f t="shared" si="2"/>
        <v>91000</v>
      </c>
      <c r="F20" s="24">
        <f t="shared" si="1"/>
        <v>93730</v>
      </c>
      <c r="G20" s="23">
        <v>1</v>
      </c>
      <c r="H20" s="24">
        <f>F20*1.03</f>
        <v>96541.900000000009</v>
      </c>
      <c r="I20" s="109">
        <f t="shared" si="0"/>
        <v>281271.90000000002</v>
      </c>
      <c r="J20" s="20"/>
      <c r="K20" s="27"/>
      <c r="L20" s="20"/>
      <c r="M20" s="20"/>
      <c r="N20" s="20"/>
      <c r="O20" s="20"/>
    </row>
    <row r="21" spans="2:15" ht="16.2" thickBot="1" x14ac:dyDescent="0.35">
      <c r="B21" s="30" t="s">
        <v>21</v>
      </c>
      <c r="C21" s="31"/>
      <c r="D21" s="32"/>
      <c r="E21" s="33">
        <f>ROUND(SUM(E9:E20),0)</f>
        <v>544256</v>
      </c>
      <c r="F21" s="33">
        <f>ROUND(SUM(F9:F20),0)</f>
        <v>491234</v>
      </c>
      <c r="G21" s="33"/>
      <c r="H21" s="33">
        <f>ROUND(SUM(H9:H20),0)</f>
        <v>346534</v>
      </c>
      <c r="I21" s="108">
        <f>ROUND(SUM(I9:I20),0)</f>
        <v>1382024</v>
      </c>
      <c r="K21" s="27"/>
      <c r="L21" s="29"/>
    </row>
    <row r="22" spans="2:15" ht="16.2" thickTop="1" x14ac:dyDescent="0.3">
      <c r="B22" s="34"/>
      <c r="C22" s="35"/>
      <c r="D22" s="32"/>
      <c r="E22" s="36"/>
      <c r="F22" s="37"/>
      <c r="G22" s="114"/>
      <c r="H22" s="37"/>
      <c r="I22" s="38"/>
    </row>
    <row r="23" spans="2:15" x14ac:dyDescent="0.3">
      <c r="B23" s="1" t="s">
        <v>22</v>
      </c>
      <c r="C23" s="39"/>
      <c r="D23" s="32"/>
      <c r="E23" s="40"/>
      <c r="F23" s="37"/>
      <c r="G23" s="114"/>
      <c r="H23" s="37"/>
      <c r="I23" s="38"/>
      <c r="J23" s="41"/>
    </row>
    <row r="24" spans="2:15" s="21" customFormat="1" ht="13.2" x14ac:dyDescent="0.25">
      <c r="B24" s="42" t="str">
        <f>B9</f>
        <v>Amy Lingo (July - Sept '24)</v>
      </c>
      <c r="C24" s="43"/>
      <c r="D24" s="44">
        <v>0.3</v>
      </c>
      <c r="E24" s="24">
        <f t="shared" ref="E24:F28" si="3">E9*0.3</f>
        <v>19500</v>
      </c>
      <c r="F24" s="24">
        <f t="shared" si="3"/>
        <v>0</v>
      </c>
      <c r="G24" s="25"/>
      <c r="H24" s="25">
        <f>H9*0.3</f>
        <v>0</v>
      </c>
      <c r="I24" s="73">
        <f t="shared" ref="I24:I35" si="4">H24+F24+E24</f>
        <v>19500</v>
      </c>
    </row>
    <row r="25" spans="2:15" x14ac:dyDescent="0.3">
      <c r="B25" s="45" t="str">
        <f>B10</f>
        <v>Terry Scott - PI (12mo)</v>
      </c>
      <c r="C25" s="31"/>
      <c r="D25" s="46">
        <v>0.3</v>
      </c>
      <c r="E25" s="24">
        <f t="shared" si="3"/>
        <v>40983.344999999994</v>
      </c>
      <c r="F25" s="24">
        <f t="shared" si="3"/>
        <v>42212.845349999996</v>
      </c>
      <c r="G25" s="25"/>
      <c r="H25" s="24">
        <f>H10*0.3</f>
        <v>33447.153435</v>
      </c>
      <c r="I25" s="73">
        <f t="shared" si="4"/>
        <v>116643.343785</v>
      </c>
    </row>
    <row r="26" spans="2:15" x14ac:dyDescent="0.3">
      <c r="B26" s="45" t="str">
        <f>B11</f>
        <v>Todd Whitney - Co-PI (10mo)</v>
      </c>
      <c r="C26" s="31" t="s">
        <v>18</v>
      </c>
      <c r="D26" s="46">
        <v>0.3</v>
      </c>
      <c r="E26" s="24">
        <f t="shared" si="3"/>
        <v>4954.8768</v>
      </c>
      <c r="F26" s="24">
        <f t="shared" si="3"/>
        <v>5103.5231040000008</v>
      </c>
      <c r="G26" s="25"/>
      <c r="H26" s="24">
        <f>H11*0.3</f>
        <v>5256.6287971200009</v>
      </c>
      <c r="I26" s="73">
        <f t="shared" si="4"/>
        <v>15315.028701120002</v>
      </c>
    </row>
    <row r="27" spans="2:15" x14ac:dyDescent="0.3">
      <c r="B27" s="45" t="str">
        <f>B12</f>
        <v>Erin Hogan - Co-PI (10mo)</v>
      </c>
      <c r="C27" s="31"/>
      <c r="D27" s="46">
        <v>0.3</v>
      </c>
      <c r="E27" s="24">
        <f t="shared" si="3"/>
        <v>4511.3999999999996</v>
      </c>
      <c r="F27" s="24">
        <f t="shared" si="3"/>
        <v>4646.7420000000002</v>
      </c>
      <c r="G27" s="25"/>
      <c r="H27" s="24">
        <f>H12*0.3</f>
        <v>4786.1442600000009</v>
      </c>
      <c r="I27" s="73">
        <f t="shared" si="4"/>
        <v>13944.286260000001</v>
      </c>
      <c r="K27" s="47"/>
      <c r="L27" s="37"/>
      <c r="M27" s="37"/>
      <c r="N27" s="37"/>
      <c r="O27" s="37"/>
    </row>
    <row r="28" spans="2:15" x14ac:dyDescent="0.3">
      <c r="B28" s="45" t="s">
        <v>19</v>
      </c>
      <c r="C28" s="31"/>
      <c r="D28" s="46">
        <v>0.3</v>
      </c>
      <c r="E28" s="24">
        <f t="shared" si="3"/>
        <v>9447.2423999999992</v>
      </c>
      <c r="F28" s="24">
        <f t="shared" si="3"/>
        <v>9730.659671999998</v>
      </c>
      <c r="G28" s="25"/>
      <c r="H28" s="24">
        <f>H13*0.3</f>
        <v>3340.8598207200002</v>
      </c>
      <c r="I28" s="73">
        <f t="shared" si="4"/>
        <v>22518.761892719998</v>
      </c>
      <c r="J28" s="48"/>
      <c r="K28" s="48"/>
    </row>
    <row r="29" spans="2:15" x14ac:dyDescent="0.3">
      <c r="B29" s="49" t="str">
        <f>B14</f>
        <v>TBD - GA (12mo)</v>
      </c>
      <c r="C29" s="31"/>
      <c r="D29" s="46">
        <v>8.0000000000000002E-3</v>
      </c>
      <c r="E29" s="24">
        <f>E14*0.8</f>
        <v>20800</v>
      </c>
      <c r="F29" s="24">
        <f>F14*0.8</f>
        <v>21424</v>
      </c>
      <c r="G29" s="25"/>
      <c r="H29" s="24">
        <f>H14*0.8</f>
        <v>22066.720000000001</v>
      </c>
      <c r="I29" s="73">
        <f t="shared" si="4"/>
        <v>64290.720000000001</v>
      </c>
    </row>
    <row r="30" spans="2:15" x14ac:dyDescent="0.3">
      <c r="B30" s="45" t="str">
        <f>B15</f>
        <v>Reilly Brown - Admin (12mo)</v>
      </c>
      <c r="C30" s="31"/>
      <c r="D30" s="46">
        <v>0.3</v>
      </c>
      <c r="E30" s="24">
        <f>E15*0.3</f>
        <v>18750</v>
      </c>
      <c r="F30" s="24">
        <f>F15*0.3</f>
        <v>19312.5</v>
      </c>
      <c r="G30" s="25"/>
      <c r="H30" s="24">
        <f>H15*0.3</f>
        <v>19891.875</v>
      </c>
      <c r="I30" s="73">
        <f t="shared" si="4"/>
        <v>57954.375</v>
      </c>
    </row>
    <row r="31" spans="2:15" x14ac:dyDescent="0.3">
      <c r="B31" s="49" t="str">
        <f>B16</f>
        <v>Marlene Parish - Observ Mgr (12mo)</v>
      </c>
      <c r="C31" s="31"/>
      <c r="D31" s="46">
        <v>0.3</v>
      </c>
      <c r="E31" s="24">
        <f>E16*D31</f>
        <v>1680</v>
      </c>
      <c r="F31" s="24">
        <f>F16*D31</f>
        <v>1730.3999999999999</v>
      </c>
      <c r="G31" s="25"/>
      <c r="H31" s="25">
        <f>H16*D31</f>
        <v>0</v>
      </c>
      <c r="I31" s="73">
        <f t="shared" si="4"/>
        <v>3410.3999999999996</v>
      </c>
    </row>
    <row r="32" spans="2:15" x14ac:dyDescent="0.3">
      <c r="B32" s="49" t="str">
        <f>B17</f>
        <v>Denise Viola - Observ Coord (12mo)</v>
      </c>
      <c r="C32" s="31"/>
      <c r="D32" s="46">
        <v>0.3</v>
      </c>
      <c r="E32" s="24">
        <f>E17*D32</f>
        <v>1800</v>
      </c>
      <c r="F32" s="24">
        <f>F17*D32</f>
        <v>1854</v>
      </c>
      <c r="G32" s="25"/>
      <c r="H32" s="25">
        <f>H17*D32</f>
        <v>0</v>
      </c>
      <c r="I32" s="73">
        <f t="shared" si="4"/>
        <v>3654</v>
      </c>
    </row>
    <row r="33" spans="1:13" x14ac:dyDescent="0.3">
      <c r="B33" s="49" t="str">
        <f>B18</f>
        <v>Gwen Berry - Research (12mo)</v>
      </c>
      <c r="C33" s="31"/>
      <c r="D33" s="46">
        <v>0.3</v>
      </c>
      <c r="E33" s="24">
        <f>D33*E18</f>
        <v>2550</v>
      </c>
      <c r="F33" s="24">
        <f>F18</f>
        <v>8755</v>
      </c>
      <c r="G33" s="25"/>
      <c r="H33" s="25">
        <f>D33*H18</f>
        <v>0</v>
      </c>
      <c r="I33" s="73">
        <f t="shared" si="4"/>
        <v>11305</v>
      </c>
    </row>
    <row r="34" spans="1:13" x14ac:dyDescent="0.3">
      <c r="B34" s="49" t="s">
        <v>20</v>
      </c>
      <c r="C34" s="31"/>
      <c r="D34" s="46">
        <v>0.3</v>
      </c>
      <c r="E34" s="24">
        <f>E19*D34</f>
        <v>24000</v>
      </c>
      <c r="F34" s="24">
        <f>F19*D34</f>
        <v>24000</v>
      </c>
      <c r="G34" s="25"/>
      <c r="H34" s="25">
        <f>H19*D34</f>
        <v>0</v>
      </c>
      <c r="I34" s="73">
        <f t="shared" si="4"/>
        <v>48000</v>
      </c>
    </row>
    <row r="35" spans="1:13" x14ac:dyDescent="0.3">
      <c r="B35" s="45" t="str">
        <f>B20</f>
        <v>Jenny Rectenwald - Comm Spec (12mo)</v>
      </c>
      <c r="C35" s="31"/>
      <c r="D35" s="46">
        <v>0.3</v>
      </c>
      <c r="E35" s="24">
        <f>E20*0.3</f>
        <v>27300</v>
      </c>
      <c r="F35" s="24">
        <f>F20*0.3</f>
        <v>28119</v>
      </c>
      <c r="G35" s="25"/>
      <c r="H35" s="24">
        <f>H20*0.3</f>
        <v>28962.570000000003</v>
      </c>
      <c r="I35" s="73">
        <f t="shared" si="4"/>
        <v>84381.57</v>
      </c>
    </row>
    <row r="36" spans="1:13" ht="16.2" thickBot="1" x14ac:dyDescent="0.35">
      <c r="B36" s="30" t="s">
        <v>23</v>
      </c>
      <c r="C36" s="31"/>
      <c r="D36" s="32"/>
      <c r="E36" s="33">
        <f>ROUND(SUM(E24:E35),0)</f>
        <v>176277</v>
      </c>
      <c r="F36" s="33">
        <f>ROUND(SUM(F24:F35),0)</f>
        <v>166889</v>
      </c>
      <c r="G36" s="115"/>
      <c r="H36" s="33">
        <f>ROUND(SUM(H24:H35),0)</f>
        <v>117752</v>
      </c>
      <c r="I36" s="110">
        <f>H36+F36+E36</f>
        <v>460918</v>
      </c>
    </row>
    <row r="37" spans="1:13" ht="16.8" thickTop="1" thickBot="1" x14ac:dyDescent="0.35">
      <c r="B37" s="50"/>
      <c r="C37" s="31"/>
      <c r="D37" s="32"/>
      <c r="E37" s="36"/>
      <c r="F37" s="36"/>
      <c r="G37" s="116"/>
      <c r="H37" s="36"/>
      <c r="I37" s="51"/>
      <c r="J37" s="54" t="s">
        <v>25</v>
      </c>
      <c r="K37" s="55" t="s">
        <v>26</v>
      </c>
      <c r="L37" s="56" t="s">
        <v>27</v>
      </c>
      <c r="M37" s="57" t="s">
        <v>28</v>
      </c>
    </row>
    <row r="38" spans="1:13" ht="16.2" thickBot="1" x14ac:dyDescent="0.35">
      <c r="C38" s="52" t="s">
        <v>24</v>
      </c>
      <c r="D38" s="53"/>
      <c r="E38" s="33">
        <f>ROUND((E21+E36),0)</f>
        <v>720533</v>
      </c>
      <c r="F38" s="33">
        <f>ROUND((F21+F36),0)</f>
        <v>658123</v>
      </c>
      <c r="G38" s="115"/>
      <c r="H38" s="33">
        <f>ROUND((H21+H36),0)</f>
        <v>464286</v>
      </c>
      <c r="I38" s="111">
        <f>H38+F38+E38</f>
        <v>1842942</v>
      </c>
      <c r="J38" s="60" t="s">
        <v>29</v>
      </c>
      <c r="K38" s="61">
        <v>40000</v>
      </c>
      <c r="L38" s="62">
        <v>40000</v>
      </c>
      <c r="M38" s="63">
        <v>20000</v>
      </c>
    </row>
    <row r="39" spans="1:13" ht="16.2" thickTop="1" x14ac:dyDescent="0.3">
      <c r="C39" s="34"/>
      <c r="E39" s="58"/>
      <c r="F39" s="59"/>
      <c r="G39" s="117"/>
      <c r="H39" s="59"/>
      <c r="I39" s="38"/>
      <c r="J39" s="64" t="s">
        <v>31</v>
      </c>
      <c r="K39" s="65">
        <v>0</v>
      </c>
      <c r="L39" s="66">
        <v>20000</v>
      </c>
      <c r="M39" s="67">
        <v>20000</v>
      </c>
    </row>
    <row r="40" spans="1:13" x14ac:dyDescent="0.3">
      <c r="B40" s="1" t="s">
        <v>30</v>
      </c>
      <c r="C40" s="34"/>
      <c r="E40" s="58"/>
      <c r="F40" s="59"/>
      <c r="G40" s="117"/>
      <c r="H40" s="59"/>
      <c r="I40" s="38"/>
      <c r="J40" s="70" t="s">
        <v>33</v>
      </c>
      <c r="K40" s="65">
        <v>220000</v>
      </c>
      <c r="L40" s="66">
        <v>75000</v>
      </c>
      <c r="M40" s="67">
        <v>50000</v>
      </c>
    </row>
    <row r="41" spans="1:13" x14ac:dyDescent="0.3">
      <c r="B41" s="17" t="s">
        <v>32</v>
      </c>
      <c r="C41" s="68"/>
      <c r="D41" s="69"/>
      <c r="G41" s="118"/>
      <c r="J41" s="70" t="s">
        <v>35</v>
      </c>
      <c r="K41" s="65">
        <v>100000</v>
      </c>
      <c r="L41" s="66">
        <v>100000</v>
      </c>
      <c r="M41" s="67">
        <v>0</v>
      </c>
    </row>
    <row r="42" spans="1:13" ht="16.2" thickBot="1" x14ac:dyDescent="0.35">
      <c r="B42" s="45"/>
      <c r="C42" s="71" t="s">
        <v>34</v>
      </c>
      <c r="D42" s="45"/>
      <c r="E42" s="72">
        <v>0</v>
      </c>
      <c r="F42" s="72">
        <v>0</v>
      </c>
      <c r="G42" s="115"/>
      <c r="H42" s="72"/>
      <c r="I42" s="72">
        <v>0</v>
      </c>
      <c r="J42" s="70" t="s">
        <v>36</v>
      </c>
      <c r="K42" s="65">
        <f>4000*6</f>
        <v>24000</v>
      </c>
      <c r="L42" s="66">
        <v>24000</v>
      </c>
      <c r="M42" s="67">
        <v>15000</v>
      </c>
    </row>
    <row r="43" spans="1:13" ht="16.2" thickTop="1" x14ac:dyDescent="0.3">
      <c r="B43" s="45"/>
      <c r="C43" s="71"/>
      <c r="D43" s="45"/>
      <c r="E43" s="73"/>
      <c r="F43" s="73"/>
      <c r="G43" s="116"/>
      <c r="H43" s="73"/>
      <c r="I43" s="38"/>
      <c r="J43" s="70" t="s">
        <v>38</v>
      </c>
      <c r="K43" s="65">
        <v>24000</v>
      </c>
      <c r="L43" s="66">
        <v>24000</v>
      </c>
      <c r="M43" s="67">
        <f>6*2500</f>
        <v>15000</v>
      </c>
    </row>
    <row r="44" spans="1:13" x14ac:dyDescent="0.3">
      <c r="B44" s="1" t="s">
        <v>37</v>
      </c>
      <c r="C44" s="74"/>
      <c r="D44" s="75"/>
      <c r="E44" s="76"/>
      <c r="F44" s="37"/>
      <c r="G44" s="114"/>
      <c r="H44" s="37"/>
      <c r="I44" s="38"/>
      <c r="J44" s="79" t="s">
        <v>40</v>
      </c>
      <c r="K44" s="65">
        <v>0</v>
      </c>
      <c r="L44" s="66">
        <v>15000</v>
      </c>
      <c r="M44" s="66">
        <v>15000</v>
      </c>
    </row>
    <row r="45" spans="1:13" x14ac:dyDescent="0.3">
      <c r="A45" s="20">
        <v>520000</v>
      </c>
      <c r="B45" s="20" t="s">
        <v>39</v>
      </c>
      <c r="C45" s="68"/>
      <c r="D45" s="69"/>
      <c r="E45" s="77">
        <v>0</v>
      </c>
      <c r="F45" s="77">
        <v>0</v>
      </c>
      <c r="G45" s="118"/>
      <c r="H45" s="77"/>
      <c r="I45" s="78">
        <f>SUM(E45:F45)</f>
        <v>0</v>
      </c>
      <c r="J45" s="70" t="s">
        <v>42</v>
      </c>
      <c r="K45" s="80">
        <v>50000</v>
      </c>
      <c r="L45" s="81">
        <v>50000</v>
      </c>
      <c r="M45" s="81">
        <v>25000</v>
      </c>
    </row>
    <row r="46" spans="1:13" x14ac:dyDescent="0.3">
      <c r="A46" s="20">
        <v>540000</v>
      </c>
      <c r="B46" s="20" t="s">
        <v>41</v>
      </c>
      <c r="C46" s="68"/>
      <c r="D46" s="69"/>
      <c r="E46" s="77">
        <v>150000</v>
      </c>
      <c r="F46" s="77">
        <v>50000</v>
      </c>
      <c r="G46" s="118"/>
      <c r="H46" s="77">
        <v>10000</v>
      </c>
      <c r="I46" s="78">
        <f>E46+F46+H46</f>
        <v>210000</v>
      </c>
      <c r="J46" s="107" t="s">
        <v>101</v>
      </c>
      <c r="K46" s="80">
        <v>27000</v>
      </c>
      <c r="L46" s="81">
        <v>27000</v>
      </c>
      <c r="M46" s="81">
        <v>0</v>
      </c>
    </row>
    <row r="47" spans="1:13" ht="16.2" thickBot="1" x14ac:dyDescent="0.35">
      <c r="A47" s="20">
        <v>544000</v>
      </c>
      <c r="B47" s="20" t="s">
        <v>43</v>
      </c>
      <c r="C47" s="68"/>
      <c r="D47" s="69"/>
      <c r="E47" s="77">
        <v>0</v>
      </c>
      <c r="F47" s="77">
        <v>0</v>
      </c>
      <c r="G47" s="118"/>
      <c r="H47" s="77"/>
      <c r="I47" s="78">
        <f>SUM(E47:F47)</f>
        <v>0</v>
      </c>
      <c r="J47" s="82" t="s">
        <v>44</v>
      </c>
      <c r="K47" s="80">
        <v>50000</v>
      </c>
      <c r="L47" s="81">
        <v>50000</v>
      </c>
      <c r="M47" s="81">
        <v>0</v>
      </c>
    </row>
    <row r="48" spans="1:13" ht="16.2" thickBot="1" x14ac:dyDescent="0.35">
      <c r="A48" s="20">
        <v>545110</v>
      </c>
      <c r="B48" s="20" t="s">
        <v>45</v>
      </c>
      <c r="C48" s="68"/>
      <c r="D48" s="69"/>
      <c r="E48" s="83">
        <f>K48</f>
        <v>535000</v>
      </c>
      <c r="F48" s="84">
        <f>L48</f>
        <v>425000</v>
      </c>
      <c r="G48" s="118"/>
      <c r="H48" s="83">
        <f>M48</f>
        <v>160000</v>
      </c>
      <c r="I48" s="113">
        <f>E48+F48+H48</f>
        <v>1120000</v>
      </c>
      <c r="J48" s="112"/>
      <c r="K48" s="85">
        <f>SUM(K38:K47)</f>
        <v>535000</v>
      </c>
      <c r="L48" s="86">
        <f>SUM(L38:L47)</f>
        <v>425000</v>
      </c>
      <c r="M48" s="87">
        <f>SUM(M38:M47)</f>
        <v>160000</v>
      </c>
    </row>
    <row r="49" spans="1:9" x14ac:dyDescent="0.3">
      <c r="A49" s="20">
        <v>545200</v>
      </c>
      <c r="B49" s="20" t="s">
        <v>46</v>
      </c>
      <c r="C49" s="68"/>
      <c r="D49" s="69"/>
      <c r="E49" s="77">
        <v>0</v>
      </c>
      <c r="F49" s="77">
        <v>0</v>
      </c>
      <c r="G49" s="118"/>
      <c r="H49" s="77"/>
      <c r="I49" s="78">
        <f>SUM(E49:F49)</f>
        <v>0</v>
      </c>
    </row>
    <row r="50" spans="1:9" x14ac:dyDescent="0.3">
      <c r="A50" s="20">
        <v>552000</v>
      </c>
      <c r="B50" s="20" t="s">
        <v>47</v>
      </c>
      <c r="C50" s="68"/>
      <c r="D50" s="69"/>
      <c r="E50" s="77">
        <v>0</v>
      </c>
      <c r="F50" s="77">
        <v>0</v>
      </c>
      <c r="G50" s="118"/>
      <c r="H50" s="77"/>
      <c r="I50" s="78">
        <f>SUM(E50:F50)</f>
        <v>0</v>
      </c>
    </row>
    <row r="51" spans="1:9" x14ac:dyDescent="0.3">
      <c r="A51" s="20">
        <v>554000</v>
      </c>
      <c r="B51" s="20" t="s">
        <v>48</v>
      </c>
      <c r="C51" s="68"/>
      <c r="D51" s="69"/>
      <c r="E51" s="77">
        <v>0</v>
      </c>
      <c r="F51" s="77">
        <v>0</v>
      </c>
      <c r="G51" s="118"/>
      <c r="H51" s="77"/>
      <c r="I51" s="78">
        <f>SUM(E51:F51)</f>
        <v>0</v>
      </c>
    </row>
    <row r="52" spans="1:9" ht="16.2" thickBot="1" x14ac:dyDescent="0.35">
      <c r="B52" s="45"/>
      <c r="C52" s="71" t="s">
        <v>49</v>
      </c>
      <c r="D52" s="45"/>
      <c r="E52" s="72">
        <f t="shared" ref="E52:H52" si="5">ROUND(SUM(E45:E51),0)</f>
        <v>685000</v>
      </c>
      <c r="F52" s="72">
        <f t="shared" si="5"/>
        <v>475000</v>
      </c>
      <c r="G52" s="118"/>
      <c r="H52" s="72">
        <f t="shared" si="5"/>
        <v>170000</v>
      </c>
      <c r="I52" s="88">
        <f>SUM(H52+F52+E52)</f>
        <v>1330000</v>
      </c>
    </row>
    <row r="53" spans="1:9" ht="16.2" thickTop="1" x14ac:dyDescent="0.3">
      <c r="B53" s="45"/>
      <c r="C53" s="71"/>
      <c r="D53" s="45"/>
      <c r="E53" s="73"/>
      <c r="F53" s="37"/>
      <c r="G53" s="118"/>
      <c r="H53" s="37"/>
      <c r="I53" s="38"/>
    </row>
    <row r="54" spans="1:9" x14ac:dyDescent="0.3">
      <c r="A54" s="20">
        <v>190000</v>
      </c>
      <c r="B54" s="1" t="s">
        <v>50</v>
      </c>
      <c r="C54" s="71"/>
      <c r="D54" s="45"/>
      <c r="E54" s="73"/>
      <c r="F54" s="37"/>
      <c r="G54" s="118"/>
      <c r="H54" s="37"/>
      <c r="I54" s="38"/>
    </row>
    <row r="55" spans="1:9" x14ac:dyDescent="0.3">
      <c r="A55" s="20"/>
      <c r="B55" s="89"/>
      <c r="C55" s="90"/>
      <c r="D55" s="91"/>
      <c r="E55" s="92">
        <v>0</v>
      </c>
      <c r="F55" s="92">
        <v>0</v>
      </c>
      <c r="G55" s="118"/>
      <c r="H55" s="92">
        <v>0</v>
      </c>
      <c r="I55" s="78">
        <f>SUM(E55:F55)</f>
        <v>0</v>
      </c>
    </row>
    <row r="56" spans="1:9" ht="16.2" thickBot="1" x14ac:dyDescent="0.35">
      <c r="B56" s="45"/>
      <c r="C56" s="71" t="s">
        <v>51</v>
      </c>
      <c r="D56" s="45"/>
      <c r="E56" s="93">
        <f>SUM(E55:E55)</f>
        <v>0</v>
      </c>
      <c r="F56" s="93">
        <f>SUM(F55:F55)</f>
        <v>0</v>
      </c>
      <c r="G56" s="118"/>
      <c r="H56" s="93">
        <f>SUM(H55:H55)</f>
        <v>0</v>
      </c>
      <c r="I56" s="88">
        <f>SUM(E56:F56)</f>
        <v>0</v>
      </c>
    </row>
    <row r="57" spans="1:9" ht="16.2" thickTop="1" x14ac:dyDescent="0.3">
      <c r="B57" s="1"/>
      <c r="C57" s="71"/>
      <c r="D57" s="45"/>
      <c r="E57" s="73"/>
      <c r="F57" s="37"/>
      <c r="G57" s="118"/>
      <c r="H57" s="37"/>
      <c r="I57" s="38"/>
    </row>
    <row r="58" spans="1:9" x14ac:dyDescent="0.3">
      <c r="B58" s="1"/>
      <c r="C58" s="71"/>
      <c r="D58" s="45"/>
      <c r="E58" s="73"/>
      <c r="F58" s="37"/>
      <c r="G58" s="118"/>
      <c r="H58" s="37"/>
      <c r="I58" s="38"/>
    </row>
    <row r="59" spans="1:9" x14ac:dyDescent="0.3">
      <c r="B59" s="1" t="s">
        <v>52</v>
      </c>
      <c r="C59" s="71"/>
      <c r="D59" s="45"/>
      <c r="E59" s="73"/>
      <c r="F59" s="73"/>
      <c r="G59" s="118"/>
      <c r="H59" s="73"/>
      <c r="I59" s="38"/>
    </row>
    <row r="60" spans="1:9" x14ac:dyDescent="0.3">
      <c r="A60" s="20"/>
      <c r="B60" s="89"/>
      <c r="C60" s="90"/>
      <c r="D60" s="91"/>
      <c r="E60" s="92">
        <v>0</v>
      </c>
      <c r="F60" s="92">
        <v>0</v>
      </c>
      <c r="G60" s="118"/>
      <c r="H60" s="92">
        <v>0</v>
      </c>
      <c r="I60" s="78">
        <f>SUM(E60:H60)</f>
        <v>0</v>
      </c>
    </row>
    <row r="61" spans="1:9" ht="16.2" thickBot="1" x14ac:dyDescent="0.35">
      <c r="B61" s="45"/>
      <c r="C61" s="71" t="s">
        <v>53</v>
      </c>
      <c r="D61" s="45"/>
      <c r="E61" s="93">
        <f>SUM(E60)</f>
        <v>0</v>
      </c>
      <c r="F61" s="93">
        <f>SUM(F60)</f>
        <v>0</v>
      </c>
      <c r="G61" s="118"/>
      <c r="H61" s="93">
        <f>H60</f>
        <v>0</v>
      </c>
      <c r="I61" s="88">
        <f>SUM(E61:H61)</f>
        <v>0</v>
      </c>
    </row>
    <row r="62" spans="1:9" ht="16.2" thickTop="1" x14ac:dyDescent="0.3">
      <c r="B62" s="1"/>
      <c r="C62" s="71"/>
      <c r="D62" s="45"/>
      <c r="E62" s="73"/>
      <c r="F62" s="37"/>
      <c r="G62" s="118"/>
      <c r="H62" s="37"/>
      <c r="I62" s="38"/>
    </row>
    <row r="63" spans="1:9" x14ac:dyDescent="0.3">
      <c r="B63" s="45"/>
      <c r="C63" s="71"/>
      <c r="D63" s="45"/>
      <c r="E63" s="73"/>
      <c r="F63" s="37"/>
      <c r="G63" s="118"/>
      <c r="H63" s="37"/>
      <c r="I63" s="38"/>
    </row>
    <row r="64" spans="1:9" x14ac:dyDescent="0.3">
      <c r="A64" s="20">
        <v>545297</v>
      </c>
      <c r="B64" s="1" t="s">
        <v>54</v>
      </c>
      <c r="C64" s="71"/>
      <c r="D64" s="45"/>
      <c r="E64" s="73"/>
      <c r="F64" s="73"/>
      <c r="G64" s="118"/>
      <c r="H64" s="73"/>
      <c r="I64" s="38"/>
    </row>
    <row r="65" spans="1:10" x14ac:dyDescent="0.3">
      <c r="A65" s="20"/>
      <c r="B65" s="89" t="s">
        <v>55</v>
      </c>
      <c r="C65" s="90"/>
      <c r="D65" s="91"/>
      <c r="E65" s="77">
        <v>861451</v>
      </c>
      <c r="F65" s="77">
        <v>1107682</v>
      </c>
      <c r="G65" s="118"/>
      <c r="H65" s="77">
        <v>240000</v>
      </c>
      <c r="I65" s="78">
        <f t="shared" ref="I65:I66" si="6">E65+F65+H65</f>
        <v>2209133</v>
      </c>
    </row>
    <row r="66" spans="1:10" x14ac:dyDescent="0.3">
      <c r="A66" s="20"/>
      <c r="B66" s="89" t="s">
        <v>56</v>
      </c>
      <c r="C66" s="90"/>
      <c r="D66" s="91"/>
      <c r="E66" s="77">
        <v>324461</v>
      </c>
      <c r="F66" s="77">
        <v>350000</v>
      </c>
      <c r="G66" s="118"/>
      <c r="H66" s="77">
        <v>179193</v>
      </c>
      <c r="I66" s="78">
        <f t="shared" si="6"/>
        <v>853654</v>
      </c>
    </row>
    <row r="67" spans="1:10" ht="16.2" thickBot="1" x14ac:dyDescent="0.35">
      <c r="B67" s="45"/>
      <c r="C67" s="71" t="s">
        <v>57</v>
      </c>
      <c r="D67" s="45"/>
      <c r="E67" s="72">
        <f>E65+E66</f>
        <v>1185912</v>
      </c>
      <c r="F67" s="72">
        <f>F65+F66</f>
        <v>1457682</v>
      </c>
      <c r="G67" s="118"/>
      <c r="H67" s="72">
        <f>H65+H66</f>
        <v>419193</v>
      </c>
      <c r="I67" s="88">
        <f>SUM(H67+F67+E67)</f>
        <v>3062787</v>
      </c>
    </row>
    <row r="68" spans="1:10" ht="16.2" thickTop="1" x14ac:dyDescent="0.3">
      <c r="B68" s="1"/>
      <c r="C68" s="71"/>
      <c r="D68" s="45"/>
      <c r="E68" s="73"/>
      <c r="F68" s="37"/>
      <c r="G68" s="118"/>
      <c r="H68" s="37"/>
      <c r="I68" s="38"/>
    </row>
    <row r="69" spans="1:10" x14ac:dyDescent="0.3">
      <c r="A69" s="20">
        <v>545295</v>
      </c>
      <c r="B69" s="1" t="s">
        <v>58</v>
      </c>
      <c r="C69" s="71"/>
      <c r="D69" s="45"/>
      <c r="E69" s="73"/>
      <c r="F69" s="37"/>
      <c r="G69" s="118"/>
      <c r="H69" s="37"/>
      <c r="I69" s="38"/>
    </row>
    <row r="70" spans="1:10" x14ac:dyDescent="0.3">
      <c r="A70" s="20"/>
      <c r="B70" s="89"/>
      <c r="C70" s="90"/>
      <c r="D70" s="91"/>
      <c r="E70" s="77"/>
      <c r="F70" s="77"/>
      <c r="G70" s="118"/>
      <c r="H70" s="77"/>
      <c r="I70" s="78">
        <f>SUM(E70:F70)</f>
        <v>0</v>
      </c>
    </row>
    <row r="71" spans="1:10" ht="16.2" thickBot="1" x14ac:dyDescent="0.35">
      <c r="B71" s="45"/>
      <c r="C71" s="71" t="s">
        <v>59</v>
      </c>
      <c r="D71" s="45"/>
      <c r="E71" s="72">
        <f>ROUND(SUM(E70:E70),0)</f>
        <v>0</v>
      </c>
      <c r="F71" s="72">
        <f>ROUND(SUM(F70:F70),0)</f>
        <v>0</v>
      </c>
      <c r="G71" s="118"/>
      <c r="H71" s="72"/>
      <c r="I71" s="88">
        <f>SUM(E71:F71)</f>
        <v>0</v>
      </c>
    </row>
    <row r="72" spans="1:10" ht="16.2" thickTop="1" x14ac:dyDescent="0.3">
      <c r="B72" s="45"/>
      <c r="C72" s="71"/>
      <c r="D72" s="45"/>
      <c r="E72" s="73"/>
      <c r="F72" s="73"/>
      <c r="G72" s="118"/>
      <c r="H72" s="73"/>
      <c r="I72" s="38"/>
    </row>
    <row r="73" spans="1:10" x14ac:dyDescent="0.3">
      <c r="A73" s="20">
        <v>535000</v>
      </c>
      <c r="B73" s="1" t="s">
        <v>60</v>
      </c>
      <c r="C73" s="74"/>
      <c r="D73" s="75"/>
      <c r="E73" s="76"/>
      <c r="F73" s="76"/>
      <c r="G73" s="118"/>
      <c r="H73" s="76"/>
      <c r="I73" s="38"/>
    </row>
    <row r="74" spans="1:10" x14ac:dyDescent="0.3">
      <c r="A74" s="20"/>
      <c r="B74" s="2" t="s">
        <v>61</v>
      </c>
      <c r="C74" s="2"/>
      <c r="D74" s="2"/>
      <c r="E74" s="77">
        <v>100000</v>
      </c>
      <c r="F74" s="77">
        <v>100000</v>
      </c>
      <c r="G74" s="118"/>
      <c r="H74" s="77">
        <v>25000</v>
      </c>
      <c r="I74" s="78">
        <f t="shared" ref="I74:I75" si="7">E74+F74+H74</f>
        <v>225000</v>
      </c>
    </row>
    <row r="75" spans="1:10" x14ac:dyDescent="0.3">
      <c r="A75" s="20"/>
      <c r="B75" s="2" t="s">
        <v>62</v>
      </c>
      <c r="C75" s="2"/>
      <c r="D75" s="2"/>
      <c r="E75" s="77">
        <v>15000</v>
      </c>
      <c r="F75" s="77">
        <v>15000</v>
      </c>
      <c r="G75" s="118"/>
      <c r="H75" s="77">
        <v>5000</v>
      </c>
      <c r="I75" s="78">
        <f t="shared" si="7"/>
        <v>35000</v>
      </c>
    </row>
    <row r="76" spans="1:10" ht="16.2" thickBot="1" x14ac:dyDescent="0.35">
      <c r="B76" s="45"/>
      <c r="C76" s="71" t="s">
        <v>64</v>
      </c>
      <c r="D76" s="45"/>
      <c r="E76" s="72">
        <f>ROUND(SUM(E74:E75),0)</f>
        <v>115000</v>
      </c>
      <c r="F76" s="72">
        <f>ROUND(SUM(F74:F75),0)</f>
        <v>115000</v>
      </c>
      <c r="G76" s="118"/>
      <c r="H76" s="72">
        <f>H74+H75</f>
        <v>30000</v>
      </c>
      <c r="I76" s="88">
        <f>SUM(H76+F76+E76)</f>
        <v>260000</v>
      </c>
      <c r="J76" t="s">
        <v>63</v>
      </c>
    </row>
    <row r="77" spans="1:10" ht="16.2" thickTop="1" x14ac:dyDescent="0.3">
      <c r="C77" s="34"/>
      <c r="D77" s="73"/>
      <c r="E77" s="73"/>
      <c r="F77" s="37"/>
      <c r="G77" s="118"/>
      <c r="H77" s="37"/>
      <c r="I77" s="38"/>
      <c r="J77" s="94" t="s">
        <v>65</v>
      </c>
    </row>
    <row r="78" spans="1:10" x14ac:dyDescent="0.3">
      <c r="A78" s="20">
        <v>520000</v>
      </c>
      <c r="B78" s="1" t="s">
        <v>66</v>
      </c>
      <c r="C78" s="74"/>
      <c r="D78" s="75"/>
      <c r="E78" s="76"/>
      <c r="F78" s="37"/>
      <c r="G78" s="118"/>
      <c r="H78" s="37"/>
      <c r="I78" s="38"/>
    </row>
    <row r="79" spans="1:10" x14ac:dyDescent="0.3">
      <c r="A79" s="20"/>
      <c r="B79" s="89" t="s">
        <v>67</v>
      </c>
      <c r="C79" s="90"/>
      <c r="D79" s="91"/>
      <c r="E79" s="77">
        <f>21333</f>
        <v>21333</v>
      </c>
      <c r="F79" s="77">
        <f>E79*1.03</f>
        <v>21972.99</v>
      </c>
      <c r="G79" s="118"/>
      <c r="H79" s="77">
        <f>F79*1.03</f>
        <v>22632.179700000001</v>
      </c>
      <c r="I79" s="78">
        <f>E79+F79+H79</f>
        <v>65938.169699999999</v>
      </c>
    </row>
    <row r="80" spans="1:10" ht="16.2" thickBot="1" x14ac:dyDescent="0.35">
      <c r="B80" s="45"/>
      <c r="C80" s="71" t="s">
        <v>68</v>
      </c>
      <c r="D80" s="45"/>
      <c r="E80" s="72">
        <f t="shared" ref="E80:H80" si="8">ROUND(SUM(E79:E79),0)</f>
        <v>21333</v>
      </c>
      <c r="F80" s="72">
        <f t="shared" si="8"/>
        <v>21973</v>
      </c>
      <c r="G80" s="118"/>
      <c r="H80" s="72">
        <f t="shared" si="8"/>
        <v>22632</v>
      </c>
      <c r="I80" s="88">
        <f>SUM(H80+F80+E80)</f>
        <v>65938</v>
      </c>
    </row>
    <row r="81" spans="1:10" ht="16.2" thickTop="1" x14ac:dyDescent="0.3">
      <c r="B81" s="45"/>
      <c r="C81" s="71"/>
      <c r="D81" s="45"/>
      <c r="E81" s="73"/>
      <c r="F81" s="73"/>
      <c r="G81" s="118"/>
      <c r="H81" s="73"/>
      <c r="I81" s="38"/>
      <c r="J81" t="s">
        <v>69</v>
      </c>
    </row>
    <row r="82" spans="1:10" x14ac:dyDescent="0.3">
      <c r="A82" s="20">
        <v>520000</v>
      </c>
      <c r="B82" s="1" t="s">
        <v>71</v>
      </c>
      <c r="C82" s="74"/>
      <c r="D82" s="75"/>
      <c r="E82" s="76"/>
      <c r="F82" s="76"/>
      <c r="G82" s="118"/>
      <c r="H82" s="76"/>
      <c r="I82" s="38"/>
      <c r="J82" s="94" t="s">
        <v>70</v>
      </c>
    </row>
    <row r="83" spans="1:10" x14ac:dyDescent="0.3">
      <c r="A83" s="20"/>
      <c r="B83" s="89" t="s">
        <v>72</v>
      </c>
      <c r="C83" s="90"/>
      <c r="D83" s="91"/>
      <c r="E83" s="77">
        <v>50000</v>
      </c>
      <c r="F83" s="77">
        <v>50000</v>
      </c>
      <c r="G83" s="118"/>
      <c r="H83" s="77">
        <v>5000</v>
      </c>
      <c r="I83" s="78">
        <f>E83+F83+H83</f>
        <v>105000</v>
      </c>
    </row>
    <row r="84" spans="1:10" ht="16.2" thickBot="1" x14ac:dyDescent="0.35">
      <c r="B84" s="45"/>
      <c r="C84" s="71" t="s">
        <v>73</v>
      </c>
      <c r="D84" s="45"/>
      <c r="E84" s="72">
        <f>E83</f>
        <v>50000</v>
      </c>
      <c r="F84" s="72">
        <f>ROUND(SUM(F83:F83),0)</f>
        <v>50000</v>
      </c>
      <c r="G84" s="118"/>
      <c r="H84" s="72">
        <f>ROUND(SUM(H83:H83),0)</f>
        <v>5000</v>
      </c>
      <c r="I84" s="93">
        <f>SUM(E84:H84)</f>
        <v>105000</v>
      </c>
    </row>
    <row r="85" spans="1:10" ht="16.2" thickTop="1" x14ac:dyDescent="0.3">
      <c r="B85" s="45"/>
      <c r="C85" s="71"/>
      <c r="D85" s="45"/>
      <c r="E85" s="73"/>
      <c r="F85" s="37"/>
      <c r="G85" s="118"/>
      <c r="H85" s="37"/>
      <c r="I85" s="38"/>
    </row>
    <row r="86" spans="1:10" x14ac:dyDescent="0.3">
      <c r="B86" s="45"/>
      <c r="C86" s="71"/>
      <c r="D86" s="45"/>
      <c r="E86" s="73"/>
      <c r="F86" s="37"/>
      <c r="G86" s="118"/>
      <c r="H86" s="37"/>
      <c r="I86" s="38"/>
    </row>
    <row r="87" spans="1:10" x14ac:dyDescent="0.3">
      <c r="B87" s="1" t="s">
        <v>74</v>
      </c>
      <c r="C87" s="71"/>
      <c r="D87" s="45"/>
      <c r="E87" s="73"/>
      <c r="F87" s="73"/>
      <c r="G87" s="118"/>
      <c r="H87" s="73"/>
      <c r="I87" s="38"/>
    </row>
    <row r="88" spans="1:10" x14ac:dyDescent="0.3">
      <c r="A88" s="20"/>
      <c r="B88" s="89"/>
      <c r="C88" s="90"/>
      <c r="D88" s="91"/>
      <c r="E88" s="77">
        <v>0</v>
      </c>
      <c r="F88" s="77">
        <v>0</v>
      </c>
      <c r="G88" s="118"/>
      <c r="H88" s="95">
        <v>0</v>
      </c>
      <c r="I88" s="92">
        <f>SUM(E88:H88)</f>
        <v>0</v>
      </c>
    </row>
    <row r="89" spans="1:10" ht="16.2" thickBot="1" x14ac:dyDescent="0.35">
      <c r="B89" s="45"/>
      <c r="C89" s="71" t="s">
        <v>75</v>
      </c>
      <c r="D89" s="45"/>
      <c r="E89" s="72">
        <f>ROUND(SUM(E88),0)</f>
        <v>0</v>
      </c>
      <c r="F89" s="72">
        <f>SUM(F88)</f>
        <v>0</v>
      </c>
      <c r="G89" s="118"/>
      <c r="H89" s="72">
        <f>SUM(H88)</f>
        <v>0</v>
      </c>
      <c r="I89" s="93">
        <f>SUM(E89:F89)</f>
        <v>0</v>
      </c>
    </row>
    <row r="90" spans="1:10" ht="16.2" thickTop="1" x14ac:dyDescent="0.3">
      <c r="B90" s="45"/>
      <c r="C90" s="71"/>
      <c r="D90" s="45"/>
      <c r="E90" s="73"/>
      <c r="F90" s="37"/>
      <c r="G90" s="118"/>
      <c r="H90" s="37"/>
      <c r="I90" s="38"/>
    </row>
    <row r="91" spans="1:10" x14ac:dyDescent="0.3">
      <c r="B91" s="45"/>
      <c r="C91" s="71"/>
      <c r="D91" s="45"/>
      <c r="E91" s="73"/>
      <c r="F91" s="73"/>
      <c r="G91" s="118"/>
      <c r="H91" s="73"/>
      <c r="I91" s="51"/>
    </row>
    <row r="92" spans="1:10" ht="16.2" thickBot="1" x14ac:dyDescent="0.35">
      <c r="C92" s="52" t="s">
        <v>76</v>
      </c>
      <c r="D92" s="53"/>
      <c r="E92" s="33">
        <f t="shared" ref="E92:F92" si="9">ROUND((E42+E52+E84+E80+E71+E67+E61+E76+E89+E56), 0)</f>
        <v>2057245</v>
      </c>
      <c r="F92" s="33">
        <f t="shared" si="9"/>
        <v>2119655</v>
      </c>
      <c r="G92" s="118"/>
      <c r="H92" s="33">
        <f>ROUND((H42+H52+H84+H80+H71+H67+H61+H76+H89+H56), 0)</f>
        <v>646825</v>
      </c>
      <c r="I92" s="110">
        <f>H92+F92+E92</f>
        <v>4823725</v>
      </c>
    </row>
    <row r="93" spans="1:10" ht="22.5" customHeight="1" thickTop="1" x14ac:dyDescent="0.3">
      <c r="B93" s="45"/>
      <c r="C93" s="71"/>
      <c r="D93" s="45"/>
      <c r="E93" s="73"/>
      <c r="F93" s="37"/>
      <c r="G93" s="118"/>
      <c r="H93" s="37"/>
      <c r="I93" s="38"/>
    </row>
    <row r="94" spans="1:10" x14ac:dyDescent="0.3">
      <c r="B94" s="1" t="s">
        <v>77</v>
      </c>
      <c r="C94" s="45"/>
      <c r="D94" s="45"/>
      <c r="E94" s="96" t="s">
        <v>26</v>
      </c>
      <c r="F94" s="96" t="s">
        <v>27</v>
      </c>
      <c r="G94" s="118"/>
      <c r="H94" s="96" t="s">
        <v>28</v>
      </c>
      <c r="I94" s="105" t="s">
        <v>102</v>
      </c>
    </row>
    <row r="95" spans="1:10" x14ac:dyDescent="0.3">
      <c r="B95" s="1" t="s">
        <v>78</v>
      </c>
      <c r="C95" s="1"/>
      <c r="D95" s="1"/>
      <c r="E95" s="38">
        <f>ROUND((E21),0)</f>
        <v>544256</v>
      </c>
      <c r="F95" s="38">
        <f>ROUND((F21),0)</f>
        <v>491234</v>
      </c>
      <c r="G95" s="118"/>
      <c r="H95" s="38">
        <f>ROUND((H21),0)</f>
        <v>346534</v>
      </c>
      <c r="I95" s="73">
        <f t="shared" ref="I95:I105" si="10">H95+F95+E95</f>
        <v>1382024</v>
      </c>
    </row>
    <row r="96" spans="1:10" x14ac:dyDescent="0.3">
      <c r="B96" s="1" t="s">
        <v>79</v>
      </c>
      <c r="C96" s="1"/>
      <c r="D96" s="1"/>
      <c r="E96" s="38">
        <f t="shared" ref="E96:H96" si="11">ROUND((E36),0)</f>
        <v>176277</v>
      </c>
      <c r="F96" s="38">
        <f t="shared" si="11"/>
        <v>166889</v>
      </c>
      <c r="G96" s="118"/>
      <c r="H96" s="38">
        <f t="shared" si="11"/>
        <v>117752</v>
      </c>
      <c r="I96" s="73">
        <f t="shared" si="10"/>
        <v>460918</v>
      </c>
    </row>
    <row r="97" spans="2:13" x14ac:dyDescent="0.3">
      <c r="B97" s="1" t="s">
        <v>32</v>
      </c>
      <c r="C97" s="1"/>
      <c r="D97" s="1"/>
      <c r="E97" s="38">
        <f t="shared" ref="E97:H97" si="12">ROUND((E42),0)</f>
        <v>0</v>
      </c>
      <c r="F97" s="38">
        <f t="shared" si="12"/>
        <v>0</v>
      </c>
      <c r="G97" s="118"/>
      <c r="H97" s="38">
        <f t="shared" si="12"/>
        <v>0</v>
      </c>
      <c r="I97" s="73">
        <f t="shared" si="10"/>
        <v>0</v>
      </c>
      <c r="J97" s="97"/>
    </row>
    <row r="98" spans="2:13" x14ac:dyDescent="0.3">
      <c r="B98" s="1" t="s">
        <v>37</v>
      </c>
      <c r="C98" s="1"/>
      <c r="D98" s="1"/>
      <c r="E98" s="38">
        <f t="shared" ref="E98:H98" si="13">ROUND((E52),0)</f>
        <v>685000</v>
      </c>
      <c r="F98" s="38">
        <f t="shared" si="13"/>
        <v>475000</v>
      </c>
      <c r="G98" s="118"/>
      <c r="H98" s="38">
        <f t="shared" si="13"/>
        <v>170000</v>
      </c>
      <c r="I98" s="73">
        <f t="shared" si="10"/>
        <v>1330000</v>
      </c>
      <c r="J98" s="38"/>
    </row>
    <row r="99" spans="2:13" x14ac:dyDescent="0.3">
      <c r="B99" s="1" t="s">
        <v>80</v>
      </c>
      <c r="C99" s="1"/>
      <c r="D99" s="1"/>
      <c r="E99" s="38">
        <f t="shared" ref="E99:H99" si="14">ROUND((E56),0)</f>
        <v>0</v>
      </c>
      <c r="F99" s="38">
        <f t="shared" si="14"/>
        <v>0</v>
      </c>
      <c r="G99" s="118"/>
      <c r="H99" s="38">
        <f t="shared" si="14"/>
        <v>0</v>
      </c>
      <c r="I99" s="73">
        <f t="shared" si="10"/>
        <v>0</v>
      </c>
    </row>
    <row r="100" spans="2:13" x14ac:dyDescent="0.3">
      <c r="B100" s="1" t="s">
        <v>81</v>
      </c>
      <c r="E100" s="38">
        <f t="shared" ref="E100:H100" si="15">ROUND(SUM(E67+E71),0)</f>
        <v>1185912</v>
      </c>
      <c r="F100" s="38">
        <f t="shared" si="15"/>
        <v>1457682</v>
      </c>
      <c r="G100" s="118"/>
      <c r="H100" s="38">
        <f t="shared" si="15"/>
        <v>419193</v>
      </c>
      <c r="I100" s="73">
        <f t="shared" si="10"/>
        <v>3062787</v>
      </c>
    </row>
    <row r="101" spans="2:13" x14ac:dyDescent="0.3">
      <c r="B101" s="1" t="s">
        <v>60</v>
      </c>
      <c r="C101" s="1"/>
      <c r="D101" s="1"/>
      <c r="E101" s="38">
        <f t="shared" ref="E101:H101" si="16">ROUND((E76),0)</f>
        <v>115000</v>
      </c>
      <c r="F101" s="38">
        <f t="shared" si="16"/>
        <v>115000</v>
      </c>
      <c r="G101" s="118"/>
      <c r="H101" s="38">
        <f t="shared" si="16"/>
        <v>30000</v>
      </c>
      <c r="I101" s="73">
        <f t="shared" si="10"/>
        <v>260000</v>
      </c>
    </row>
    <row r="102" spans="2:13" x14ac:dyDescent="0.3">
      <c r="B102" s="1" t="s">
        <v>82</v>
      </c>
      <c r="C102" s="1"/>
      <c r="D102" s="1"/>
      <c r="E102" s="38">
        <f t="shared" ref="E102:H102" si="17">ROUND((E80),0)</f>
        <v>21333</v>
      </c>
      <c r="F102" s="38">
        <f t="shared" si="17"/>
        <v>21973</v>
      </c>
      <c r="G102" s="118"/>
      <c r="H102" s="38">
        <f t="shared" si="17"/>
        <v>22632</v>
      </c>
      <c r="I102" s="73">
        <f t="shared" si="10"/>
        <v>65938</v>
      </c>
    </row>
    <row r="103" spans="2:13" x14ac:dyDescent="0.3">
      <c r="B103" s="1" t="s">
        <v>71</v>
      </c>
      <c r="C103" s="1"/>
      <c r="D103" s="1"/>
      <c r="E103" s="38">
        <f t="shared" ref="E103:F103" si="18">ROUND((E84),0)</f>
        <v>50000</v>
      </c>
      <c r="F103" s="38">
        <f t="shared" si="18"/>
        <v>50000</v>
      </c>
      <c r="G103" s="118"/>
      <c r="H103" s="38">
        <f>ROUND((H84),0)</f>
        <v>5000</v>
      </c>
      <c r="I103" s="73">
        <f t="shared" si="10"/>
        <v>105000</v>
      </c>
    </row>
    <row r="104" spans="2:13" x14ac:dyDescent="0.3">
      <c r="B104" s="1" t="s">
        <v>83</v>
      </c>
      <c r="C104" s="1"/>
      <c r="D104" s="1"/>
      <c r="E104" s="38">
        <f t="shared" ref="E104:H104" si="19">E61</f>
        <v>0</v>
      </c>
      <c r="F104" s="38">
        <f t="shared" si="19"/>
        <v>0</v>
      </c>
      <c r="G104" s="118"/>
      <c r="H104" s="38">
        <f t="shared" si="19"/>
        <v>0</v>
      </c>
      <c r="I104" s="73">
        <f t="shared" si="10"/>
        <v>0</v>
      </c>
    </row>
    <row r="105" spans="2:13" x14ac:dyDescent="0.3">
      <c r="B105" s="1" t="s">
        <v>74</v>
      </c>
      <c r="C105" s="1"/>
      <c r="D105" s="1"/>
      <c r="E105" s="38">
        <f t="shared" ref="E105:H105" si="20">E89</f>
        <v>0</v>
      </c>
      <c r="F105" s="38">
        <f t="shared" si="20"/>
        <v>0</v>
      </c>
      <c r="G105" s="118"/>
      <c r="H105" s="38">
        <f t="shared" si="20"/>
        <v>0</v>
      </c>
      <c r="I105" s="73">
        <f t="shared" si="10"/>
        <v>0</v>
      </c>
    </row>
    <row r="106" spans="2:13" ht="16.2" thickBot="1" x14ac:dyDescent="0.35">
      <c r="B106" s="98" t="s">
        <v>84</v>
      </c>
      <c r="C106" s="1"/>
      <c r="D106" s="1"/>
      <c r="E106" s="99">
        <f t="shared" ref="E106:H106" si="21">SUM(E95:E105)</f>
        <v>2777778</v>
      </c>
      <c r="F106" s="99">
        <f t="shared" si="21"/>
        <v>2777778</v>
      </c>
      <c r="G106" s="118"/>
      <c r="H106" s="99">
        <f t="shared" si="21"/>
        <v>1111111</v>
      </c>
      <c r="I106" s="99">
        <f>E106+F106</f>
        <v>5555556</v>
      </c>
    </row>
    <row r="107" spans="2:13" ht="16.2" thickBot="1" x14ac:dyDescent="0.35">
      <c r="B107" s="1" t="s">
        <v>85</v>
      </c>
      <c r="C107" s="45" t="s">
        <v>86</v>
      </c>
      <c r="D107" s="100">
        <v>0.08</v>
      </c>
      <c r="E107" s="76">
        <f>E106*0.08</f>
        <v>222222.24</v>
      </c>
      <c r="F107" s="76">
        <f>F106*0.08</f>
        <v>222222.24</v>
      </c>
      <c r="G107" s="118"/>
      <c r="H107" s="76">
        <f>H106*0.08</f>
        <v>88888.88</v>
      </c>
      <c r="I107" s="101">
        <f>H107+F107+E107</f>
        <v>533333.36</v>
      </c>
    </row>
    <row r="108" spans="2:13" ht="18.600000000000001" thickBot="1" x14ac:dyDescent="0.4">
      <c r="B108" s="1"/>
      <c r="C108" s="45"/>
      <c r="D108" s="122"/>
      <c r="E108" s="120" t="s">
        <v>26</v>
      </c>
      <c r="F108" s="120" t="s">
        <v>27</v>
      </c>
      <c r="G108" s="121"/>
      <c r="H108" s="120" t="s">
        <v>28</v>
      </c>
      <c r="I108" s="123" t="s">
        <v>102</v>
      </c>
    </row>
    <row r="109" spans="2:13" s="102" customFormat="1" ht="18.600000000000001" thickBot="1" x14ac:dyDescent="0.4">
      <c r="B109" s="102" t="s">
        <v>88</v>
      </c>
      <c r="D109" s="122"/>
      <c r="E109" s="103">
        <f>E106+E107</f>
        <v>3000000.24</v>
      </c>
      <c r="F109" s="103">
        <f>F106+F107</f>
        <v>3000000.24</v>
      </c>
      <c r="G109" s="119"/>
      <c r="H109" s="103">
        <f>H106+H107</f>
        <v>1199999.8799999999</v>
      </c>
      <c r="I109" s="104">
        <f>E109+F109+H109</f>
        <v>7200000.3600000003</v>
      </c>
      <c r="J109" t="s">
        <v>87</v>
      </c>
      <c r="K109"/>
      <c r="L109"/>
      <c r="M109"/>
    </row>
    <row r="110" spans="2:13" ht="16.2" thickTop="1" x14ac:dyDescent="0.3">
      <c r="B110" s="17"/>
      <c r="J110" s="94" t="s">
        <v>89</v>
      </c>
    </row>
  </sheetData>
  <mergeCells count="1">
    <mergeCell ref="C3:D3"/>
  </mergeCells>
  <hyperlinks>
    <hyperlink ref="J77" r:id="rId1" xr:uid="{FD5B5443-C03D-704C-A447-F884EF479092}"/>
    <hyperlink ref="J110" r:id="rId2" xr:uid="{5BA617F3-5C65-E64A-BC68-E16E859582D0}"/>
  </hyperlinks>
  <pageMargins left="0.7" right="0.7" top="0.75" bottom="0.75" header="0.3" footer="0.3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Terry</dc:creator>
  <cp:lastModifiedBy>Henry, Gretchen</cp:lastModifiedBy>
  <dcterms:created xsi:type="dcterms:W3CDTF">2024-10-01T13:00:57Z</dcterms:created>
  <dcterms:modified xsi:type="dcterms:W3CDTF">2025-01-28T17:15:55Z</dcterms:modified>
</cp:coreProperties>
</file>